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7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8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9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hidePivotFieldList="1" autoCompressPictures="0"/>
  <bookViews>
    <workbookView xWindow="0" yWindow="0" windowWidth="38400" windowHeight="21760" tabRatio="766" activeTab="2"/>
  </bookViews>
  <sheets>
    <sheet name="Roll Up Tables" sheetId="3" r:id="rId1"/>
    <sheet name="Encryption Summary Table" sheetId="19" r:id="rId2"/>
    <sheet name="Decryption Summary Table" sheetId="20" r:id="rId3"/>
    <sheet name="Input Size per Mode" sheetId="10" r:id="rId4"/>
    <sheet name="Key Size per Mode" sheetId="12" r:id="rId5"/>
    <sheet name="Key Size per Input Size" sheetId="13" r:id="rId6"/>
    <sheet name="1M_File" sheetId="1" r:id="rId7"/>
    <sheet name="5M_File" sheetId="2" r:id="rId8"/>
    <sheet name="10M_File" sheetId="4" r:id="rId9"/>
    <sheet name="256M_File" sheetId="5" r:id="rId10"/>
    <sheet name="File_Sizes" sheetId="9" r:id="rId11"/>
    <sheet name="HIDDEN" sheetId="7" r:id="rId12"/>
  </sheets>
  <definedNames>
    <definedName name="_xlnm._FilterDatabase" localSheetId="1" hidden="1">'Encryption Summary Table'!#REF!</definedName>
    <definedName name="AVG">HIDDEN!$B$1</definedName>
    <definedName name="Encrypt_Summary">'Roll Up Tables'!$A$2:$J$62</definedName>
    <definedName name="MAX">HIDDEN!$B$3</definedName>
    <definedName name="MED">HIDDEN!$B$4</definedName>
    <definedName name="MIN">HIDDEN!$B$2</definedName>
  </definedNames>
  <calcPr calcId="140000" concurrentCalc="0"/>
  <pivotCaches>
    <pivotCache cacheId="16" r:id="rId13"/>
    <pivotCache cacheId="21" r:id="rId14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106" i="2" l="1"/>
  <c r="AE106" i="2"/>
  <c r="AF106" i="2"/>
  <c r="AG106" i="2"/>
  <c r="AH106" i="2"/>
  <c r="AD107" i="2"/>
  <c r="AE107" i="2"/>
  <c r="AF107" i="2"/>
  <c r="AG107" i="2"/>
  <c r="AH107" i="2"/>
  <c r="AD108" i="2"/>
  <c r="AE108" i="2"/>
  <c r="AF108" i="2"/>
  <c r="AG108" i="2"/>
  <c r="AH108" i="2"/>
  <c r="AD109" i="2"/>
  <c r="AE109" i="2"/>
  <c r="AF109" i="2"/>
  <c r="AG109" i="2"/>
  <c r="AH109" i="2"/>
  <c r="AD110" i="2"/>
  <c r="AE110" i="2"/>
  <c r="AF110" i="2"/>
  <c r="AG110" i="2"/>
  <c r="AH110" i="2"/>
  <c r="AD106" i="1"/>
  <c r="AE106" i="1"/>
  <c r="AF106" i="1"/>
  <c r="AG106" i="1"/>
  <c r="AH106" i="1"/>
  <c r="AD107" i="1"/>
  <c r="AE107" i="1"/>
  <c r="AF107" i="1"/>
  <c r="AG107" i="1"/>
  <c r="AH107" i="1"/>
  <c r="AD108" i="1"/>
  <c r="AE108" i="1"/>
  <c r="AF108" i="1"/>
  <c r="AG108" i="1"/>
  <c r="AH108" i="1"/>
  <c r="AD109" i="1"/>
  <c r="AE109" i="1"/>
  <c r="AF109" i="1"/>
  <c r="AG109" i="1"/>
  <c r="AH109" i="1"/>
  <c r="AD110" i="1"/>
  <c r="AE110" i="1"/>
  <c r="AF110" i="1"/>
  <c r="AG110" i="1"/>
  <c r="AH110" i="1"/>
  <c r="AO106" i="1"/>
  <c r="AN106" i="1"/>
  <c r="AM106" i="1"/>
  <c r="AL106" i="1"/>
  <c r="AK106" i="1"/>
  <c r="AA106" i="1"/>
  <c r="Z106" i="1"/>
  <c r="Y106" i="1"/>
  <c r="X106" i="1"/>
  <c r="W106" i="1"/>
  <c r="T106" i="1"/>
  <c r="S106" i="1"/>
  <c r="R106" i="1"/>
  <c r="Q106" i="1"/>
  <c r="P106" i="1"/>
  <c r="M106" i="1"/>
  <c r="L106" i="1"/>
  <c r="K106" i="1"/>
  <c r="J106" i="1"/>
  <c r="I106" i="1"/>
  <c r="F106" i="1"/>
  <c r="E106" i="1"/>
  <c r="D106" i="1"/>
  <c r="C106" i="1"/>
  <c r="B106" i="1"/>
  <c r="AP110" i="5"/>
  <c r="AO110" i="5"/>
  <c r="AN110" i="5"/>
  <c r="AM110" i="5"/>
  <c r="AL110" i="5"/>
  <c r="AI110" i="5"/>
  <c r="AH110" i="5"/>
  <c r="AG110" i="5"/>
  <c r="AF110" i="5"/>
  <c r="AE110" i="5"/>
  <c r="AB110" i="5"/>
  <c r="AA110" i="5"/>
  <c r="Z110" i="5"/>
  <c r="Y110" i="5"/>
  <c r="X110" i="5"/>
  <c r="U110" i="5"/>
  <c r="T110" i="5"/>
  <c r="S110" i="5"/>
  <c r="R110" i="5"/>
  <c r="Q110" i="5"/>
  <c r="N110" i="5"/>
  <c r="M110" i="5"/>
  <c r="L110" i="5"/>
  <c r="K110" i="5"/>
  <c r="J110" i="5"/>
  <c r="G110" i="5"/>
  <c r="F110" i="5"/>
  <c r="E110" i="5"/>
  <c r="D110" i="5"/>
  <c r="C110" i="5"/>
  <c r="AO110" i="4"/>
  <c r="AN110" i="4"/>
  <c r="AM110" i="4"/>
  <c r="AL110" i="4"/>
  <c r="AK110" i="4"/>
  <c r="AH110" i="4"/>
  <c r="AG110" i="4"/>
  <c r="AF110" i="4"/>
  <c r="AE110" i="4"/>
  <c r="AD110" i="4"/>
  <c r="AA110" i="4"/>
  <c r="Z110" i="4"/>
  <c r="Y110" i="4"/>
  <c r="X110" i="4"/>
  <c r="W110" i="4"/>
  <c r="T110" i="4"/>
  <c r="S110" i="4"/>
  <c r="R110" i="4"/>
  <c r="Q110" i="4"/>
  <c r="P110" i="4"/>
  <c r="M110" i="4"/>
  <c r="L110" i="4"/>
  <c r="K110" i="4"/>
  <c r="J110" i="4"/>
  <c r="I110" i="4"/>
  <c r="F110" i="4"/>
  <c r="E110" i="4"/>
  <c r="D110" i="4"/>
  <c r="C110" i="4"/>
  <c r="B110" i="4"/>
  <c r="AO110" i="2"/>
  <c r="AN110" i="2"/>
  <c r="AM110" i="2"/>
  <c r="AL110" i="2"/>
  <c r="AK110" i="2"/>
  <c r="AA110" i="2"/>
  <c r="Z110" i="2"/>
  <c r="Y110" i="2"/>
  <c r="X110" i="2"/>
  <c r="W110" i="2"/>
  <c r="T110" i="2"/>
  <c r="S110" i="2"/>
  <c r="R110" i="2"/>
  <c r="Q110" i="2"/>
  <c r="P110" i="2"/>
  <c r="M110" i="2"/>
  <c r="L110" i="2"/>
  <c r="K110" i="2"/>
  <c r="J110" i="2"/>
  <c r="I110" i="2"/>
  <c r="F110" i="2"/>
  <c r="E110" i="2"/>
  <c r="D110" i="2"/>
  <c r="C110" i="2"/>
  <c r="B110" i="2"/>
  <c r="AO110" i="1"/>
  <c r="AN110" i="1"/>
  <c r="AM110" i="1"/>
  <c r="AL110" i="1"/>
  <c r="AK110" i="1"/>
  <c r="AA110" i="1"/>
  <c r="Z110" i="1"/>
  <c r="Y110" i="1"/>
  <c r="X110" i="1"/>
  <c r="W110" i="1"/>
  <c r="T110" i="1"/>
  <c r="S110" i="1"/>
  <c r="R110" i="1"/>
  <c r="Q110" i="1"/>
  <c r="P110" i="1"/>
  <c r="M110" i="1"/>
  <c r="L110" i="1"/>
  <c r="K110" i="1"/>
  <c r="J110" i="1"/>
  <c r="I110" i="1"/>
  <c r="C110" i="1"/>
  <c r="D110" i="1"/>
  <c r="E110" i="1"/>
  <c r="F110" i="1"/>
  <c r="B110" i="1"/>
  <c r="T3" i="3"/>
  <c r="S3" i="3"/>
  <c r="T4" i="3"/>
  <c r="S4" i="3"/>
  <c r="T5" i="3"/>
  <c r="S5" i="3"/>
  <c r="T6" i="3"/>
  <c r="S6" i="3"/>
  <c r="T7" i="3"/>
  <c r="S7" i="3"/>
  <c r="T8" i="3"/>
  <c r="S8" i="3"/>
  <c r="T9" i="3"/>
  <c r="S9" i="3"/>
  <c r="T10" i="3"/>
  <c r="S10" i="3"/>
  <c r="T11" i="3"/>
  <c r="S11" i="3"/>
  <c r="T12" i="3"/>
  <c r="S12" i="3"/>
  <c r="T13" i="3"/>
  <c r="S13" i="3"/>
  <c r="T14" i="3"/>
  <c r="S14" i="3"/>
  <c r="T15" i="3"/>
  <c r="S15" i="3"/>
  <c r="T16" i="3"/>
  <c r="S16" i="3"/>
  <c r="T17" i="3"/>
  <c r="S17" i="3"/>
  <c r="T18" i="3"/>
  <c r="S18" i="3"/>
  <c r="T19" i="3"/>
  <c r="S19" i="3"/>
  <c r="T20" i="3"/>
  <c r="S20" i="3"/>
  <c r="T21" i="3"/>
  <c r="S21" i="3"/>
  <c r="T22" i="3"/>
  <c r="S22" i="3"/>
  <c r="T23" i="3"/>
  <c r="S23" i="3"/>
  <c r="T24" i="3"/>
  <c r="S24" i="3"/>
  <c r="T25" i="3"/>
  <c r="S25" i="3"/>
  <c r="T26" i="3"/>
  <c r="S26" i="3"/>
  <c r="T27" i="3"/>
  <c r="S27" i="3"/>
  <c r="T28" i="3"/>
  <c r="S28" i="3"/>
  <c r="T29" i="3"/>
  <c r="S29" i="3"/>
  <c r="T30" i="3"/>
  <c r="S30" i="3"/>
  <c r="T31" i="3"/>
  <c r="S31" i="3"/>
  <c r="T32" i="3"/>
  <c r="S32" i="3"/>
  <c r="T33" i="3"/>
  <c r="S33" i="3"/>
  <c r="T34" i="3"/>
  <c r="S34" i="3"/>
  <c r="T35" i="3"/>
  <c r="S35" i="3"/>
  <c r="T36" i="3"/>
  <c r="S36" i="3"/>
  <c r="T37" i="3"/>
  <c r="S37" i="3"/>
  <c r="T38" i="3"/>
  <c r="S38" i="3"/>
  <c r="T39" i="3"/>
  <c r="S39" i="3"/>
  <c r="T40" i="3"/>
  <c r="S40" i="3"/>
  <c r="T41" i="3"/>
  <c r="S41" i="3"/>
  <c r="T42" i="3"/>
  <c r="S42" i="3"/>
  <c r="T43" i="3"/>
  <c r="S43" i="3"/>
  <c r="T44" i="3"/>
  <c r="S44" i="3"/>
  <c r="T45" i="3"/>
  <c r="S45" i="3"/>
  <c r="T46" i="3"/>
  <c r="S46" i="3"/>
  <c r="T47" i="3"/>
  <c r="S47" i="3"/>
  <c r="T48" i="3"/>
  <c r="S48" i="3"/>
  <c r="T49" i="3"/>
  <c r="S49" i="3"/>
  <c r="T50" i="3"/>
  <c r="S50" i="3"/>
  <c r="T51" i="3"/>
  <c r="S51" i="3"/>
  <c r="T52" i="3"/>
  <c r="S52" i="3"/>
  <c r="T53" i="3"/>
  <c r="S53" i="3"/>
  <c r="T54" i="3"/>
  <c r="S54" i="3"/>
  <c r="T55" i="3"/>
  <c r="S55" i="3"/>
  <c r="T56" i="3"/>
  <c r="S56" i="3"/>
  <c r="T57" i="3"/>
  <c r="S57" i="3"/>
  <c r="T58" i="3"/>
  <c r="S58" i="3"/>
  <c r="T59" i="3"/>
  <c r="S59" i="3"/>
  <c r="T60" i="3"/>
  <c r="S60" i="3"/>
  <c r="T61" i="3"/>
  <c r="S61" i="3"/>
  <c r="T62" i="3"/>
  <c r="S62" i="3"/>
  <c r="F3" i="3"/>
  <c r="E3" i="3"/>
  <c r="F4" i="3"/>
  <c r="E4" i="3"/>
  <c r="F5" i="3"/>
  <c r="E5" i="3"/>
  <c r="F6" i="3"/>
  <c r="E6" i="3"/>
  <c r="F7" i="3"/>
  <c r="E7" i="3"/>
  <c r="F8" i="3"/>
  <c r="E8" i="3"/>
  <c r="F9" i="3"/>
  <c r="E9" i="3"/>
  <c r="F10" i="3"/>
  <c r="E10" i="3"/>
  <c r="F11" i="3"/>
  <c r="E11" i="3"/>
  <c r="F12" i="3"/>
  <c r="E12" i="3"/>
  <c r="F13" i="3"/>
  <c r="E13" i="3"/>
  <c r="F14" i="3"/>
  <c r="E14" i="3"/>
  <c r="F15" i="3"/>
  <c r="E15" i="3"/>
  <c r="F16" i="3"/>
  <c r="E16" i="3"/>
  <c r="F17" i="3"/>
  <c r="E17" i="3"/>
  <c r="F18" i="3"/>
  <c r="E18" i="3"/>
  <c r="F19" i="3"/>
  <c r="E19" i="3"/>
  <c r="F20" i="3"/>
  <c r="E20" i="3"/>
  <c r="F21" i="3"/>
  <c r="E21" i="3"/>
  <c r="F22" i="3"/>
  <c r="E22" i="3"/>
  <c r="F23" i="3"/>
  <c r="E23" i="3"/>
  <c r="F24" i="3"/>
  <c r="E24" i="3"/>
  <c r="F25" i="3"/>
  <c r="E25" i="3"/>
  <c r="F26" i="3"/>
  <c r="E26" i="3"/>
  <c r="F27" i="3"/>
  <c r="E27" i="3"/>
  <c r="F28" i="3"/>
  <c r="E28" i="3"/>
  <c r="F29" i="3"/>
  <c r="E29" i="3"/>
  <c r="F30" i="3"/>
  <c r="E30" i="3"/>
  <c r="F31" i="3"/>
  <c r="E31" i="3"/>
  <c r="F32" i="3"/>
  <c r="E32" i="3"/>
  <c r="F33" i="3"/>
  <c r="E33" i="3"/>
  <c r="F34" i="3"/>
  <c r="E34" i="3"/>
  <c r="F35" i="3"/>
  <c r="E35" i="3"/>
  <c r="F36" i="3"/>
  <c r="E36" i="3"/>
  <c r="F37" i="3"/>
  <c r="E37" i="3"/>
  <c r="F38" i="3"/>
  <c r="E38" i="3"/>
  <c r="F39" i="3"/>
  <c r="E39" i="3"/>
  <c r="F40" i="3"/>
  <c r="E40" i="3"/>
  <c r="F41" i="3"/>
  <c r="E41" i="3"/>
  <c r="F42" i="3"/>
  <c r="E42" i="3"/>
  <c r="F43" i="3"/>
  <c r="E43" i="3"/>
  <c r="F44" i="3"/>
  <c r="E44" i="3"/>
  <c r="F45" i="3"/>
  <c r="E45" i="3"/>
  <c r="F46" i="3"/>
  <c r="E46" i="3"/>
  <c r="F47" i="3"/>
  <c r="E47" i="3"/>
  <c r="F48" i="3"/>
  <c r="E48" i="3"/>
  <c r="F49" i="3"/>
  <c r="E49" i="3"/>
  <c r="F50" i="3"/>
  <c r="E50" i="3"/>
  <c r="F51" i="3"/>
  <c r="E51" i="3"/>
  <c r="F52" i="3"/>
  <c r="E52" i="3"/>
  <c r="F53" i="3"/>
  <c r="E53" i="3"/>
  <c r="F54" i="3"/>
  <c r="E54" i="3"/>
  <c r="F55" i="3"/>
  <c r="E55" i="3"/>
  <c r="F56" i="3"/>
  <c r="E56" i="3"/>
  <c r="F57" i="3"/>
  <c r="E57" i="3"/>
  <c r="F58" i="3"/>
  <c r="E58" i="3"/>
  <c r="F59" i="3"/>
  <c r="E59" i="3"/>
  <c r="F60" i="3"/>
  <c r="E60" i="3"/>
  <c r="F61" i="3"/>
  <c r="E61" i="3"/>
  <c r="F62" i="3"/>
  <c r="E62" i="3"/>
  <c r="AF106" i="5"/>
  <c r="AG106" i="5"/>
  <c r="AH106" i="5"/>
  <c r="AI106" i="5"/>
  <c r="AE106" i="5"/>
  <c r="AP106" i="5"/>
  <c r="AP107" i="5"/>
  <c r="AP108" i="5"/>
  <c r="AP109" i="5"/>
  <c r="AB106" i="5"/>
  <c r="AA106" i="5"/>
  <c r="Z106" i="5"/>
  <c r="Y106" i="5"/>
  <c r="X106" i="5"/>
  <c r="U106" i="5"/>
  <c r="T106" i="5"/>
  <c r="S106" i="5"/>
  <c r="R106" i="5"/>
  <c r="Q106" i="5"/>
  <c r="K106" i="5"/>
  <c r="L106" i="5"/>
  <c r="M106" i="5"/>
  <c r="N106" i="5"/>
  <c r="J106" i="5"/>
  <c r="D106" i="5"/>
  <c r="E106" i="5"/>
  <c r="F106" i="5"/>
  <c r="G106" i="5"/>
  <c r="C106" i="5"/>
  <c r="AO106" i="5"/>
  <c r="AN106" i="5"/>
  <c r="AM106" i="5"/>
  <c r="AL106" i="5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J22" i="3"/>
  <c r="J21" i="3"/>
  <c r="J20" i="3"/>
  <c r="J19" i="3"/>
  <c r="J18" i="3"/>
  <c r="J42" i="3"/>
  <c r="J41" i="3"/>
  <c r="J40" i="3"/>
  <c r="J39" i="3"/>
  <c r="J38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17" i="3"/>
  <c r="J16" i="3"/>
  <c r="J15" i="3"/>
  <c r="J14" i="3"/>
  <c r="J13" i="3"/>
  <c r="J12" i="3"/>
  <c r="J11" i="3"/>
  <c r="J10" i="3"/>
  <c r="J9" i="3"/>
  <c r="J8" i="3"/>
  <c r="J4" i="3"/>
  <c r="J5" i="3"/>
  <c r="J6" i="3"/>
  <c r="J7" i="3"/>
  <c r="J3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B106" i="2"/>
  <c r="C106" i="2"/>
  <c r="E106" i="2"/>
  <c r="D106" i="2"/>
  <c r="F106" i="2"/>
  <c r="B106" i="4"/>
  <c r="C106" i="4"/>
  <c r="E106" i="4"/>
  <c r="D106" i="4"/>
  <c r="F106" i="4"/>
  <c r="I106" i="2"/>
  <c r="J106" i="2"/>
  <c r="L106" i="2"/>
  <c r="K106" i="2"/>
  <c r="M106" i="2"/>
  <c r="I106" i="4"/>
  <c r="J106" i="4"/>
  <c r="L106" i="4"/>
  <c r="K106" i="4"/>
  <c r="M106" i="4"/>
  <c r="P106" i="2"/>
  <c r="Q106" i="2"/>
  <c r="S106" i="2"/>
  <c r="R106" i="2"/>
  <c r="T106" i="2"/>
  <c r="P106" i="4"/>
  <c r="Q106" i="4"/>
  <c r="S106" i="4"/>
  <c r="R106" i="4"/>
  <c r="T106" i="4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3" i="3"/>
  <c r="W106" i="2"/>
  <c r="X106" i="2"/>
  <c r="Z106" i="2"/>
  <c r="Y106" i="2"/>
  <c r="AA106" i="2"/>
  <c r="W106" i="4"/>
  <c r="X106" i="4"/>
  <c r="Z106" i="4"/>
  <c r="Y106" i="4"/>
  <c r="AA106" i="4"/>
  <c r="AD106" i="4"/>
  <c r="AE106" i="4"/>
  <c r="AG106" i="4"/>
  <c r="AF106" i="4"/>
  <c r="AH106" i="4"/>
  <c r="AK106" i="2"/>
  <c r="AL106" i="2"/>
  <c r="AN106" i="2"/>
  <c r="AM106" i="2"/>
  <c r="AO106" i="2"/>
  <c r="AK106" i="4"/>
  <c r="AL106" i="4"/>
  <c r="AN106" i="4"/>
  <c r="AM106" i="4"/>
  <c r="AO106" i="4"/>
  <c r="M1" i="13"/>
  <c r="B1" i="13"/>
  <c r="I1" i="12"/>
  <c r="B1" i="12"/>
  <c r="I1" i="10"/>
  <c r="B1" i="10"/>
  <c r="W62" i="3"/>
  <c r="V62" i="3"/>
  <c r="U62" i="3"/>
  <c r="AN109" i="5"/>
  <c r="W61" i="3"/>
  <c r="AN108" i="5"/>
  <c r="V61" i="3"/>
  <c r="AN107" i="5"/>
  <c r="U61" i="3"/>
  <c r="AO109" i="5"/>
  <c r="W60" i="3"/>
  <c r="AO108" i="5"/>
  <c r="V60" i="3"/>
  <c r="AO107" i="5"/>
  <c r="U60" i="3"/>
  <c r="AM109" i="5"/>
  <c r="W59" i="3"/>
  <c r="AM108" i="5"/>
  <c r="V59" i="3"/>
  <c r="AM107" i="5"/>
  <c r="U59" i="3"/>
  <c r="AL109" i="5"/>
  <c r="W58" i="3"/>
  <c r="AL108" i="5"/>
  <c r="V58" i="3"/>
  <c r="AL107" i="5"/>
  <c r="U58" i="3"/>
  <c r="AO109" i="4"/>
  <c r="W57" i="3"/>
  <c r="AO108" i="4"/>
  <c r="V57" i="3"/>
  <c r="AO107" i="4"/>
  <c r="U57" i="3"/>
  <c r="AM109" i="4"/>
  <c r="W56" i="3"/>
  <c r="AM108" i="4"/>
  <c r="V56" i="3"/>
  <c r="AM107" i="4"/>
  <c r="U56" i="3"/>
  <c r="AN109" i="4"/>
  <c r="W55" i="3"/>
  <c r="AN108" i="4"/>
  <c r="V55" i="3"/>
  <c r="AN107" i="4"/>
  <c r="U55" i="3"/>
  <c r="AL109" i="4"/>
  <c r="W54" i="3"/>
  <c r="AL108" i="4"/>
  <c r="V54" i="3"/>
  <c r="AL107" i="4"/>
  <c r="U54" i="3"/>
  <c r="AK109" i="4"/>
  <c r="W53" i="3"/>
  <c r="AK108" i="4"/>
  <c r="V53" i="3"/>
  <c r="AK107" i="4"/>
  <c r="U53" i="3"/>
  <c r="AO109" i="2"/>
  <c r="W52" i="3"/>
  <c r="AO108" i="2"/>
  <c r="V52" i="3"/>
  <c r="AO107" i="2"/>
  <c r="U52" i="3"/>
  <c r="AM109" i="2"/>
  <c r="W51" i="3"/>
  <c r="AM108" i="2"/>
  <c r="V51" i="3"/>
  <c r="AM107" i="2"/>
  <c r="U51" i="3"/>
  <c r="AN109" i="2"/>
  <c r="W50" i="3"/>
  <c r="AN108" i="2"/>
  <c r="V50" i="3"/>
  <c r="AN107" i="2"/>
  <c r="U50" i="3"/>
  <c r="AL109" i="2"/>
  <c r="W49" i="3"/>
  <c r="AL108" i="2"/>
  <c r="V49" i="3"/>
  <c r="AL107" i="2"/>
  <c r="U49" i="3"/>
  <c r="AK109" i="1"/>
  <c r="W48" i="3"/>
  <c r="AK108" i="1"/>
  <c r="V48" i="3"/>
  <c r="AK107" i="1"/>
  <c r="U48" i="3"/>
  <c r="AO109" i="1"/>
  <c r="W47" i="3"/>
  <c r="AO108" i="1"/>
  <c r="V47" i="3"/>
  <c r="AO107" i="1"/>
  <c r="U47" i="3"/>
  <c r="AM109" i="1"/>
  <c r="W46" i="3"/>
  <c r="AM108" i="1"/>
  <c r="V46" i="3"/>
  <c r="AM107" i="1"/>
  <c r="U46" i="3"/>
  <c r="AN109" i="1"/>
  <c r="W45" i="3"/>
  <c r="AN108" i="1"/>
  <c r="V45" i="3"/>
  <c r="AN107" i="1"/>
  <c r="U45" i="3"/>
  <c r="AL109" i="1"/>
  <c r="W44" i="3"/>
  <c r="AL108" i="1"/>
  <c r="V44" i="3"/>
  <c r="AL107" i="1"/>
  <c r="U44" i="3"/>
  <c r="W43" i="3"/>
  <c r="V43" i="3"/>
  <c r="U43" i="3"/>
  <c r="AI109" i="5"/>
  <c r="W42" i="3"/>
  <c r="AI108" i="5"/>
  <c r="V42" i="3"/>
  <c r="AI107" i="5"/>
  <c r="U42" i="3"/>
  <c r="AG109" i="5"/>
  <c r="W41" i="3"/>
  <c r="AG108" i="5"/>
  <c r="V41" i="3"/>
  <c r="AG107" i="5"/>
  <c r="U41" i="3"/>
  <c r="AH109" i="5"/>
  <c r="W40" i="3"/>
  <c r="AH108" i="5"/>
  <c r="V40" i="3"/>
  <c r="AH107" i="5"/>
  <c r="U40" i="3"/>
  <c r="AF109" i="5"/>
  <c r="W39" i="3"/>
  <c r="AF108" i="5"/>
  <c r="V39" i="3"/>
  <c r="AF107" i="5"/>
  <c r="U39" i="3"/>
  <c r="AE109" i="5"/>
  <c r="W38" i="3"/>
  <c r="AE108" i="5"/>
  <c r="V38" i="3"/>
  <c r="AE107" i="5"/>
  <c r="U38" i="3"/>
  <c r="AH109" i="4"/>
  <c r="W37" i="3"/>
  <c r="AH108" i="4"/>
  <c r="V37" i="3"/>
  <c r="AH107" i="4"/>
  <c r="U37" i="3"/>
  <c r="AF109" i="4"/>
  <c r="W36" i="3"/>
  <c r="AF108" i="4"/>
  <c r="V36" i="3"/>
  <c r="AF107" i="4"/>
  <c r="U36" i="3"/>
  <c r="AG109" i="4"/>
  <c r="W35" i="3"/>
  <c r="AG108" i="4"/>
  <c r="V35" i="3"/>
  <c r="AG107" i="4"/>
  <c r="U35" i="3"/>
  <c r="AE109" i="4"/>
  <c r="W34" i="3"/>
  <c r="AE108" i="4"/>
  <c r="V34" i="3"/>
  <c r="AE107" i="4"/>
  <c r="U34" i="3"/>
  <c r="AD109" i="4"/>
  <c r="W33" i="3"/>
  <c r="AD108" i="4"/>
  <c r="V33" i="3"/>
  <c r="AD107" i="4"/>
  <c r="U33" i="3"/>
  <c r="W32" i="3"/>
  <c r="V32" i="3"/>
  <c r="U32" i="3"/>
  <c r="W31" i="3"/>
  <c r="V31" i="3"/>
  <c r="U31" i="3"/>
  <c r="W30" i="3"/>
  <c r="V30" i="3"/>
  <c r="U30" i="3"/>
  <c r="W29" i="3"/>
  <c r="V29" i="3"/>
  <c r="U29" i="3"/>
  <c r="W28" i="3"/>
  <c r="V28" i="3"/>
  <c r="U28" i="3"/>
  <c r="W27" i="3"/>
  <c r="V27" i="3"/>
  <c r="U27" i="3"/>
  <c r="W26" i="3"/>
  <c r="V26" i="3"/>
  <c r="U26" i="3"/>
  <c r="W25" i="3"/>
  <c r="V25" i="3"/>
  <c r="U25" i="3"/>
  <c r="W24" i="3"/>
  <c r="V24" i="3"/>
  <c r="U24" i="3"/>
  <c r="W23" i="3"/>
  <c r="V23" i="3"/>
  <c r="U23" i="3"/>
  <c r="AB109" i="5"/>
  <c r="W22" i="3"/>
  <c r="AB108" i="5"/>
  <c r="V22" i="3"/>
  <c r="AB107" i="5"/>
  <c r="U22" i="3"/>
  <c r="Z109" i="5"/>
  <c r="W21" i="3"/>
  <c r="Z108" i="5"/>
  <c r="V21" i="3"/>
  <c r="Z107" i="5"/>
  <c r="U21" i="3"/>
  <c r="AA109" i="5"/>
  <c r="W20" i="3"/>
  <c r="AA108" i="5"/>
  <c r="V20" i="3"/>
  <c r="AA107" i="5"/>
  <c r="U20" i="3"/>
  <c r="Y109" i="5"/>
  <c r="W19" i="3"/>
  <c r="Y108" i="5"/>
  <c r="V19" i="3"/>
  <c r="Y107" i="5"/>
  <c r="U19" i="3"/>
  <c r="X109" i="5"/>
  <c r="W18" i="3"/>
  <c r="X108" i="5"/>
  <c r="V18" i="3"/>
  <c r="X107" i="5"/>
  <c r="U18" i="3"/>
  <c r="AA109" i="4"/>
  <c r="W17" i="3"/>
  <c r="AA108" i="4"/>
  <c r="V17" i="3"/>
  <c r="AA107" i="4"/>
  <c r="U17" i="3"/>
  <c r="Y109" i="4"/>
  <c r="W16" i="3"/>
  <c r="Y108" i="4"/>
  <c r="V16" i="3"/>
  <c r="Y107" i="4"/>
  <c r="U16" i="3"/>
  <c r="Z109" i="4"/>
  <c r="W15" i="3"/>
  <c r="Z108" i="4"/>
  <c r="V15" i="3"/>
  <c r="Z107" i="4"/>
  <c r="U15" i="3"/>
  <c r="X109" i="4"/>
  <c r="W14" i="3"/>
  <c r="X108" i="4"/>
  <c r="V14" i="3"/>
  <c r="X107" i="4"/>
  <c r="U14" i="3"/>
  <c r="W109" i="4"/>
  <c r="W13" i="3"/>
  <c r="W108" i="4"/>
  <c r="V13" i="3"/>
  <c r="W107" i="4"/>
  <c r="U13" i="3"/>
  <c r="AA109" i="2"/>
  <c r="W12" i="3"/>
  <c r="AA108" i="2"/>
  <c r="V12" i="3"/>
  <c r="AA107" i="2"/>
  <c r="U12" i="3"/>
  <c r="Y109" i="2"/>
  <c r="W11" i="3"/>
  <c r="Y108" i="2"/>
  <c r="V11" i="3"/>
  <c r="Y107" i="2"/>
  <c r="U11" i="3"/>
  <c r="Z109" i="2"/>
  <c r="W10" i="3"/>
  <c r="Z108" i="2"/>
  <c r="V10" i="3"/>
  <c r="Z107" i="2"/>
  <c r="U10" i="3"/>
  <c r="X109" i="2"/>
  <c r="W9" i="3"/>
  <c r="X108" i="2"/>
  <c r="V9" i="3"/>
  <c r="X107" i="2"/>
  <c r="U9" i="3"/>
  <c r="W109" i="1"/>
  <c r="W8" i="3"/>
  <c r="W108" i="1"/>
  <c r="V8" i="3"/>
  <c r="W107" i="1"/>
  <c r="U8" i="3"/>
  <c r="AA109" i="1"/>
  <c r="W7" i="3"/>
  <c r="AA108" i="1"/>
  <c r="V7" i="3"/>
  <c r="AA107" i="1"/>
  <c r="U7" i="3"/>
  <c r="Y109" i="1"/>
  <c r="W6" i="3"/>
  <c r="Y108" i="1"/>
  <c r="V6" i="3"/>
  <c r="Y107" i="1"/>
  <c r="U6" i="3"/>
  <c r="Z109" i="1"/>
  <c r="W5" i="3"/>
  <c r="Z108" i="1"/>
  <c r="V5" i="3"/>
  <c r="Z107" i="1"/>
  <c r="U5" i="3"/>
  <c r="X109" i="1"/>
  <c r="W4" i="3"/>
  <c r="X108" i="1"/>
  <c r="V4" i="3"/>
  <c r="X107" i="1"/>
  <c r="U4" i="3"/>
  <c r="W3" i="3"/>
  <c r="V3" i="3"/>
  <c r="U3" i="3"/>
  <c r="U109" i="5"/>
  <c r="I62" i="3"/>
  <c r="U108" i="5"/>
  <c r="H62" i="3"/>
  <c r="U107" i="5"/>
  <c r="G62" i="3"/>
  <c r="S109" i="5"/>
  <c r="I61" i="3"/>
  <c r="S108" i="5"/>
  <c r="H61" i="3"/>
  <c r="S107" i="5"/>
  <c r="G61" i="3"/>
  <c r="T109" i="5"/>
  <c r="I60" i="3"/>
  <c r="T108" i="5"/>
  <c r="H60" i="3"/>
  <c r="T107" i="5"/>
  <c r="G60" i="3"/>
  <c r="R109" i="5"/>
  <c r="I59" i="3"/>
  <c r="R108" i="5"/>
  <c r="H59" i="3"/>
  <c r="R107" i="5"/>
  <c r="G59" i="3"/>
  <c r="Q109" i="5"/>
  <c r="I58" i="3"/>
  <c r="Q108" i="5"/>
  <c r="H58" i="3"/>
  <c r="Q107" i="5"/>
  <c r="G58" i="3"/>
  <c r="N109" i="5"/>
  <c r="I42" i="3"/>
  <c r="N108" i="5"/>
  <c r="H42" i="3"/>
  <c r="N107" i="5"/>
  <c r="G42" i="3"/>
  <c r="L109" i="5"/>
  <c r="I41" i="3"/>
  <c r="L108" i="5"/>
  <c r="H41" i="3"/>
  <c r="L107" i="5"/>
  <c r="G41" i="3"/>
  <c r="M109" i="5"/>
  <c r="I40" i="3"/>
  <c r="M108" i="5"/>
  <c r="H40" i="3"/>
  <c r="M107" i="5"/>
  <c r="G40" i="3"/>
  <c r="K109" i="5"/>
  <c r="I39" i="3"/>
  <c r="K108" i="5"/>
  <c r="H39" i="3"/>
  <c r="K107" i="5"/>
  <c r="G39" i="3"/>
  <c r="J109" i="5"/>
  <c r="I38" i="3"/>
  <c r="J108" i="5"/>
  <c r="H38" i="3"/>
  <c r="J107" i="5"/>
  <c r="G38" i="3"/>
  <c r="G109" i="5"/>
  <c r="I22" i="3"/>
  <c r="G108" i="5"/>
  <c r="H22" i="3"/>
  <c r="G107" i="5"/>
  <c r="G22" i="3"/>
  <c r="E109" i="5"/>
  <c r="I21" i="3"/>
  <c r="E108" i="5"/>
  <c r="H21" i="3"/>
  <c r="E107" i="5"/>
  <c r="G21" i="3"/>
  <c r="F109" i="5"/>
  <c r="I20" i="3"/>
  <c r="F108" i="5"/>
  <c r="H20" i="3"/>
  <c r="F107" i="5"/>
  <c r="G20" i="3"/>
  <c r="D109" i="5"/>
  <c r="I19" i="3"/>
  <c r="D108" i="5"/>
  <c r="H19" i="3"/>
  <c r="D107" i="5"/>
  <c r="G19" i="3"/>
  <c r="C109" i="5"/>
  <c r="I18" i="3"/>
  <c r="C108" i="5"/>
  <c r="H18" i="3"/>
  <c r="C107" i="5"/>
  <c r="G18" i="3"/>
  <c r="T109" i="4"/>
  <c r="I57" i="3"/>
  <c r="T108" i="4"/>
  <c r="H57" i="3"/>
  <c r="T107" i="4"/>
  <c r="G57" i="3"/>
  <c r="R109" i="4"/>
  <c r="I56" i="3"/>
  <c r="R108" i="4"/>
  <c r="H56" i="3"/>
  <c r="R107" i="4"/>
  <c r="G56" i="3"/>
  <c r="S109" i="4"/>
  <c r="I55" i="3"/>
  <c r="S108" i="4"/>
  <c r="H55" i="3"/>
  <c r="S107" i="4"/>
  <c r="G55" i="3"/>
  <c r="Q109" i="4"/>
  <c r="I54" i="3"/>
  <c r="Q108" i="4"/>
  <c r="H54" i="3"/>
  <c r="Q107" i="4"/>
  <c r="G54" i="3"/>
  <c r="P109" i="4"/>
  <c r="I53" i="3"/>
  <c r="P108" i="4"/>
  <c r="H53" i="3"/>
  <c r="P107" i="4"/>
  <c r="G53" i="3"/>
  <c r="M109" i="4"/>
  <c r="I37" i="3"/>
  <c r="M108" i="4"/>
  <c r="H37" i="3"/>
  <c r="M107" i="4"/>
  <c r="G37" i="3"/>
  <c r="K109" i="4"/>
  <c r="I36" i="3"/>
  <c r="K108" i="4"/>
  <c r="H36" i="3"/>
  <c r="K107" i="4"/>
  <c r="G36" i="3"/>
  <c r="L109" i="4"/>
  <c r="I35" i="3"/>
  <c r="L108" i="4"/>
  <c r="H35" i="3"/>
  <c r="L107" i="4"/>
  <c r="G35" i="3"/>
  <c r="J109" i="4"/>
  <c r="I34" i="3"/>
  <c r="J108" i="4"/>
  <c r="H34" i="3"/>
  <c r="J107" i="4"/>
  <c r="G34" i="3"/>
  <c r="I109" i="4"/>
  <c r="I33" i="3"/>
  <c r="I108" i="4"/>
  <c r="H33" i="3"/>
  <c r="I107" i="4"/>
  <c r="G33" i="3"/>
  <c r="F109" i="4"/>
  <c r="I17" i="3"/>
  <c r="F108" i="4"/>
  <c r="H17" i="3"/>
  <c r="F107" i="4"/>
  <c r="G17" i="3"/>
  <c r="D109" i="4"/>
  <c r="I16" i="3"/>
  <c r="D108" i="4"/>
  <c r="H16" i="3"/>
  <c r="D107" i="4"/>
  <c r="G16" i="3"/>
  <c r="E109" i="4"/>
  <c r="I15" i="3"/>
  <c r="E108" i="4"/>
  <c r="H15" i="3"/>
  <c r="E107" i="4"/>
  <c r="G15" i="3"/>
  <c r="C109" i="4"/>
  <c r="I14" i="3"/>
  <c r="C108" i="4"/>
  <c r="H14" i="3"/>
  <c r="C107" i="4"/>
  <c r="G14" i="3"/>
  <c r="B109" i="4"/>
  <c r="I13" i="3"/>
  <c r="B108" i="4"/>
  <c r="H13" i="3"/>
  <c r="B107" i="4"/>
  <c r="G13" i="3"/>
  <c r="T109" i="2"/>
  <c r="I52" i="3"/>
  <c r="T108" i="2"/>
  <c r="H52" i="3"/>
  <c r="T107" i="2"/>
  <c r="G52" i="3"/>
  <c r="R109" i="2"/>
  <c r="I51" i="3"/>
  <c r="R108" i="2"/>
  <c r="H51" i="3"/>
  <c r="R107" i="2"/>
  <c r="G51" i="3"/>
  <c r="S109" i="2"/>
  <c r="I50" i="3"/>
  <c r="S108" i="2"/>
  <c r="H50" i="3"/>
  <c r="S107" i="2"/>
  <c r="G50" i="3"/>
  <c r="Q109" i="2"/>
  <c r="I49" i="3"/>
  <c r="Q108" i="2"/>
  <c r="H49" i="3"/>
  <c r="Q107" i="2"/>
  <c r="G49" i="3"/>
  <c r="M109" i="2"/>
  <c r="I32" i="3"/>
  <c r="M108" i="2"/>
  <c r="H32" i="3"/>
  <c r="M107" i="2"/>
  <c r="G32" i="3"/>
  <c r="K109" i="2"/>
  <c r="I31" i="3"/>
  <c r="K108" i="2"/>
  <c r="H31" i="3"/>
  <c r="K107" i="2"/>
  <c r="G31" i="3"/>
  <c r="L109" i="2"/>
  <c r="I30" i="3"/>
  <c r="L108" i="2"/>
  <c r="H30" i="3"/>
  <c r="L107" i="2"/>
  <c r="G30" i="3"/>
  <c r="J109" i="2"/>
  <c r="I29" i="3"/>
  <c r="J108" i="2"/>
  <c r="H29" i="3"/>
  <c r="J107" i="2"/>
  <c r="G29" i="3"/>
  <c r="I109" i="2"/>
  <c r="I28" i="3"/>
  <c r="I108" i="2"/>
  <c r="H28" i="3"/>
  <c r="I107" i="2"/>
  <c r="G28" i="3"/>
  <c r="F109" i="2"/>
  <c r="I12" i="3"/>
  <c r="F108" i="2"/>
  <c r="H12" i="3"/>
  <c r="F107" i="2"/>
  <c r="G12" i="3"/>
  <c r="D109" i="2"/>
  <c r="I11" i="3"/>
  <c r="D108" i="2"/>
  <c r="H11" i="3"/>
  <c r="D107" i="2"/>
  <c r="G11" i="3"/>
  <c r="E109" i="2"/>
  <c r="I10" i="3"/>
  <c r="E108" i="2"/>
  <c r="H10" i="3"/>
  <c r="E107" i="2"/>
  <c r="G10" i="3"/>
  <c r="C109" i="2"/>
  <c r="I9" i="3"/>
  <c r="C108" i="2"/>
  <c r="H9" i="3"/>
  <c r="C107" i="2"/>
  <c r="G9" i="3"/>
  <c r="P109" i="1"/>
  <c r="I48" i="3"/>
  <c r="P108" i="1"/>
  <c r="H48" i="3"/>
  <c r="P107" i="1"/>
  <c r="G48" i="3"/>
  <c r="T109" i="1"/>
  <c r="I47" i="3"/>
  <c r="T108" i="1"/>
  <c r="H47" i="3"/>
  <c r="T107" i="1"/>
  <c r="G47" i="3"/>
  <c r="R109" i="1"/>
  <c r="I46" i="3"/>
  <c r="R108" i="1"/>
  <c r="H46" i="3"/>
  <c r="R107" i="1"/>
  <c r="G46" i="3"/>
  <c r="S109" i="1"/>
  <c r="I45" i="3"/>
  <c r="S108" i="1"/>
  <c r="H45" i="3"/>
  <c r="S107" i="1"/>
  <c r="G45" i="3"/>
  <c r="Q109" i="1"/>
  <c r="I44" i="3"/>
  <c r="Q108" i="1"/>
  <c r="H44" i="3"/>
  <c r="Q107" i="1"/>
  <c r="G44" i="3"/>
  <c r="I43" i="3"/>
  <c r="H43" i="3"/>
  <c r="G43" i="3"/>
  <c r="M109" i="1"/>
  <c r="I27" i="3"/>
  <c r="M108" i="1"/>
  <c r="H27" i="3"/>
  <c r="M107" i="1"/>
  <c r="G27" i="3"/>
  <c r="K109" i="1"/>
  <c r="I26" i="3"/>
  <c r="K108" i="1"/>
  <c r="H26" i="3"/>
  <c r="K107" i="1"/>
  <c r="G26" i="3"/>
  <c r="L109" i="1"/>
  <c r="I25" i="3"/>
  <c r="L108" i="1"/>
  <c r="H25" i="3"/>
  <c r="L107" i="1"/>
  <c r="G25" i="3"/>
  <c r="J109" i="1"/>
  <c r="I24" i="3"/>
  <c r="J108" i="1"/>
  <c r="H24" i="3"/>
  <c r="J107" i="1"/>
  <c r="G24" i="3"/>
  <c r="I109" i="1"/>
  <c r="I23" i="3"/>
  <c r="I108" i="1"/>
  <c r="H23" i="3"/>
  <c r="I107" i="1"/>
  <c r="G23" i="3"/>
  <c r="B107" i="1"/>
  <c r="G8" i="3"/>
  <c r="B108" i="1"/>
  <c r="H8" i="3"/>
  <c r="B109" i="1"/>
  <c r="I8" i="3"/>
  <c r="C107" i="1"/>
  <c r="G4" i="3"/>
  <c r="C108" i="1"/>
  <c r="H4" i="3"/>
  <c r="C109" i="1"/>
  <c r="I4" i="3"/>
  <c r="E107" i="1"/>
  <c r="G5" i="3"/>
  <c r="E108" i="1"/>
  <c r="H5" i="3"/>
  <c r="E109" i="1"/>
  <c r="I5" i="3"/>
  <c r="D107" i="1"/>
  <c r="G6" i="3"/>
  <c r="D108" i="1"/>
  <c r="H6" i="3"/>
  <c r="D109" i="1"/>
  <c r="I6" i="3"/>
  <c r="F107" i="1"/>
  <c r="G7" i="3"/>
  <c r="F108" i="1"/>
  <c r="H7" i="3"/>
  <c r="F109" i="1"/>
  <c r="I7" i="3"/>
  <c r="I3" i="3"/>
  <c r="H3" i="3"/>
  <c r="G3" i="3"/>
  <c r="AK109" i="2"/>
  <c r="W109" i="2"/>
  <c r="AK108" i="2"/>
  <c r="W108" i="2"/>
  <c r="AK107" i="2"/>
  <c r="W107" i="2"/>
  <c r="P109" i="2"/>
  <c r="P108" i="2"/>
  <c r="P107" i="2"/>
  <c r="B109" i="2"/>
  <c r="B108" i="2"/>
  <c r="B107" i="2"/>
</calcChain>
</file>

<file path=xl/sharedStrings.xml><?xml version="1.0" encoding="utf-8"?>
<sst xmlns="http://schemas.openxmlformats.org/spreadsheetml/2006/main" count="897" uniqueCount="102">
  <si>
    <t>ECB</t>
  </si>
  <si>
    <t>CBC</t>
  </si>
  <si>
    <t>OFB</t>
  </si>
  <si>
    <t>CFB</t>
  </si>
  <si>
    <t>CTR</t>
  </si>
  <si>
    <t>Time</t>
  </si>
  <si>
    <t>(ms)</t>
  </si>
  <si>
    <t>Mode</t>
  </si>
  <si>
    <t>Median</t>
  </si>
  <si>
    <t>Min</t>
  </si>
  <si>
    <t>Max</t>
  </si>
  <si>
    <t>Key size (B)</t>
  </si>
  <si>
    <t>16B</t>
  </si>
  <si>
    <t>32B</t>
  </si>
  <si>
    <t>24B</t>
  </si>
  <si>
    <t>16B_Key_Encrypt</t>
  </si>
  <si>
    <t>24B_Key_Encrypt</t>
  </si>
  <si>
    <t>32B_Key_Encrypt</t>
  </si>
  <si>
    <t>16B_Key_Decrypt</t>
  </si>
  <si>
    <t>24B_Key_Decrypt</t>
  </si>
  <si>
    <t>32B_Key_Decrypt</t>
  </si>
  <si>
    <t>Decrypt</t>
  </si>
  <si>
    <t>Round</t>
  </si>
  <si>
    <t>ROUND</t>
  </si>
  <si>
    <t>Metric</t>
  </si>
  <si>
    <t>MIN</t>
  </si>
  <si>
    <t>AVG</t>
  </si>
  <si>
    <t>MAX</t>
  </si>
  <si>
    <t>MED</t>
  </si>
  <si>
    <t>ciphertextcbc.txt</t>
  </si>
  <si>
    <t>ciphertextcfb.txt</t>
  </si>
  <si>
    <t>ciphertextctr.txt</t>
  </si>
  <si>
    <t>ciphertextecb.txt</t>
  </si>
  <si>
    <t>ciphertextofb.txt</t>
  </si>
  <si>
    <t>plaintextcbc.txt</t>
  </si>
  <si>
    <t>plaintextcfb.txt</t>
  </si>
  <si>
    <t>plaintextctr.txt</t>
  </si>
  <si>
    <t>plaintextecb.txt</t>
  </si>
  <si>
    <t>plaintextofb.txt</t>
  </si>
  <si>
    <t>File</t>
  </si>
  <si>
    <t>Encryption Summary</t>
  </si>
  <si>
    <t>Decryption Summary</t>
  </si>
  <si>
    <t>16x16B</t>
  </si>
  <si>
    <t>24x16B</t>
  </si>
  <si>
    <t>32x16B</t>
  </si>
  <si>
    <t>16x32B</t>
  </si>
  <si>
    <t>24x32B</t>
  </si>
  <si>
    <t>32x32B</t>
  </si>
  <si>
    <t>16x10</t>
  </si>
  <si>
    <t>24x10</t>
  </si>
  <si>
    <t>32x10</t>
  </si>
  <si>
    <t>16x256</t>
  </si>
  <si>
    <t>24x256</t>
  </si>
  <si>
    <t>32x256</t>
  </si>
  <si>
    <t>ode</t>
  </si>
  <si>
    <t>16x16</t>
  </si>
  <si>
    <t>24x16</t>
  </si>
  <si>
    <t>32x16</t>
  </si>
  <si>
    <t>16x32</t>
  </si>
  <si>
    <t>24x32</t>
  </si>
  <si>
    <t>32x32</t>
  </si>
  <si>
    <t>File Summary of Decryption Results (key_size x file_size)</t>
  </si>
  <si>
    <t>File Summary of Encryption Results (key_size x file_size)</t>
  </si>
  <si>
    <t>Test Size (KB)</t>
  </si>
  <si>
    <t>Key Size</t>
  </si>
  <si>
    <t>Mode/Input Size (KB)</t>
  </si>
  <si>
    <t>Mode/Key Size</t>
  </si>
  <si>
    <t>Average (ms)</t>
  </si>
  <si>
    <t>Min (ms)</t>
  </si>
  <si>
    <t>Max (ms)</t>
  </si>
  <si>
    <t>Median (ms)</t>
  </si>
  <si>
    <t>Plain size (B)</t>
  </si>
  <si>
    <t>Cipher size (B)</t>
  </si>
  <si>
    <t xml:space="preserve">AES Encryption Performance Using </t>
  </si>
  <si>
    <t xml:space="preserve">AES Decryption Performance Using </t>
  </si>
  <si>
    <t>KB Input</t>
  </si>
  <si>
    <t>Key Size (B)</t>
  </si>
  <si>
    <t>Key Size (KB)</t>
  </si>
  <si>
    <t xml:space="preserve">Key Size (B) </t>
  </si>
  <si>
    <t>Mode_Key</t>
  </si>
  <si>
    <t>(All)</t>
  </si>
  <si>
    <t>&lt;-- Change This</t>
  </si>
  <si>
    <t>Size %</t>
  </si>
  <si>
    <t>16</t>
  </si>
  <si>
    <t>24</t>
  </si>
  <si>
    <t>32</t>
  </si>
  <si>
    <t>16x1</t>
  </si>
  <si>
    <t>24x1</t>
  </si>
  <si>
    <t>32x1</t>
  </si>
  <si>
    <t>16x5</t>
  </si>
  <si>
    <t>24x5</t>
  </si>
  <si>
    <t>32x5</t>
  </si>
  <si>
    <t>Throughput (MB/s)</t>
  </si>
  <si>
    <t>Average of Throughput (MB/s)</t>
  </si>
  <si>
    <t>10</t>
  </si>
  <si>
    <t>1</t>
  </si>
  <si>
    <t>5</t>
  </si>
  <si>
    <t>256</t>
  </si>
  <si>
    <t>Test Size (MB)</t>
  </si>
  <si>
    <t>20</t>
  </si>
  <si>
    <t>Input Size (MB)</t>
  </si>
  <si>
    <t>Avg 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</si>
</sst>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"/>
    <numFmt numFmtId="165" formatCode="0.0000"/>
    <numFmt numFmtId="166" formatCode="0.000"/>
  </numFmts>
  <fonts count="10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FFFFFF"/>
      <name val="Calibri"/>
      <scheme val="minor"/>
    </font>
    <font>
      <sz val="12"/>
      <color rgb="FF000000"/>
      <name val="Calibri"/>
      <family val="2"/>
      <scheme val="minor"/>
    </font>
    <font>
      <sz val="12"/>
      <color rgb="FFFFFFFF"/>
      <name val="Calibri"/>
      <scheme val="minor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FFC7CE"/>
        <bgColor rgb="FF000000"/>
      </patternFill>
    </fill>
  </fills>
  <borders count="2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458">
    <xf numFmtId="0" fontId="0" fillId="0" borderId="0"/>
    <xf numFmtId="0" fontId="1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0">
    <xf numFmtId="0" fontId="0" fillId="0" borderId="0" xfId="0"/>
    <xf numFmtId="11" fontId="0" fillId="0" borderId="0" xfId="0" applyNumberFormat="1"/>
    <xf numFmtId="0" fontId="2" fillId="4" borderId="2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5" borderId="7" xfId="0" applyFont="1" applyFill="1" applyBorder="1"/>
    <xf numFmtId="0" fontId="0" fillId="6" borderId="5" xfId="0" applyFont="1" applyFill="1" applyBorder="1"/>
    <xf numFmtId="0" fontId="0" fillId="6" borderId="6" xfId="0" applyFont="1" applyFill="1" applyBorder="1"/>
    <xf numFmtId="0" fontId="0" fillId="6" borderId="7" xfId="0" applyFont="1" applyFill="1" applyBorder="1"/>
    <xf numFmtId="0" fontId="0" fillId="6" borderId="9" xfId="0" applyFont="1" applyFill="1" applyBorder="1"/>
    <xf numFmtId="0" fontId="0" fillId="6" borderId="10" xfId="0" applyFont="1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11" fontId="2" fillId="4" borderId="3" xfId="0" applyNumberFormat="1" applyFont="1" applyFill="1" applyBorder="1"/>
    <xf numFmtId="11" fontId="2" fillId="4" borderId="4" xfId="0" applyNumberFormat="1" applyFont="1" applyFill="1" applyBorder="1"/>
    <xf numFmtId="0" fontId="6" fillId="7" borderId="13" xfId="0" applyFont="1" applyFill="1" applyBorder="1"/>
    <xf numFmtId="0" fontId="6" fillId="7" borderId="14" xfId="0" applyFont="1" applyFill="1" applyBorder="1"/>
    <xf numFmtId="11" fontId="6" fillId="7" borderId="14" xfId="0" applyNumberFormat="1" applyFont="1" applyFill="1" applyBorder="1"/>
    <xf numFmtId="11" fontId="6" fillId="7" borderId="15" xfId="0" applyNumberFormat="1" applyFont="1" applyFill="1" applyBorder="1"/>
    <xf numFmtId="0" fontId="7" fillId="0" borderId="0" xfId="0" applyFont="1"/>
    <xf numFmtId="11" fontId="7" fillId="0" borderId="0" xfId="0" applyNumberFormat="1" applyFont="1"/>
    <xf numFmtId="0" fontId="7" fillId="8" borderId="17" xfId="0" applyFont="1" applyFill="1" applyBorder="1"/>
    <xf numFmtId="0" fontId="8" fillId="7" borderId="13" xfId="0" applyFont="1" applyFill="1" applyBorder="1"/>
    <xf numFmtId="0" fontId="8" fillId="7" borderId="14" xfId="0" applyFont="1" applyFill="1" applyBorder="1"/>
    <xf numFmtId="11" fontId="8" fillId="7" borderId="14" xfId="0" applyNumberFormat="1" applyFont="1" applyFill="1" applyBorder="1"/>
    <xf numFmtId="11" fontId="8" fillId="7" borderId="15" xfId="0" applyNumberFormat="1" applyFont="1" applyFill="1" applyBorder="1"/>
    <xf numFmtId="11" fontId="8" fillId="7" borderId="13" xfId="0" applyNumberFormat="1" applyFont="1" applyFill="1" applyBorder="1"/>
    <xf numFmtId="11" fontId="8" fillId="7" borderId="16" xfId="0" applyNumberFormat="1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0" fontId="6" fillId="7" borderId="15" xfId="0" applyFont="1" applyFill="1" applyBorder="1"/>
    <xf numFmtId="0" fontId="0" fillId="5" borderId="11" xfId="0" applyFont="1" applyFill="1" applyBorder="1"/>
    <xf numFmtId="20" fontId="0" fillId="0" borderId="0" xfId="0" applyNumberFormat="1"/>
    <xf numFmtId="0" fontId="0" fillId="3" borderId="1" xfId="0" applyFill="1" applyBorder="1"/>
    <xf numFmtId="0" fontId="7" fillId="0" borderId="0" xfId="0" applyFont="1" applyAlignment="1">
      <alignment horizontal="left"/>
    </xf>
    <xf numFmtId="0" fontId="0" fillId="0" borderId="0" xfId="0" quotePrefix="1"/>
    <xf numFmtId="0" fontId="1" fillId="2" borderId="0" xfId="1"/>
    <xf numFmtId="11" fontId="0" fillId="0" borderId="0" xfId="0" applyNumberFormat="1" applyBorder="1"/>
    <xf numFmtId="0" fontId="0" fillId="0" borderId="0" xfId="0" pivotButton="1" applyFont="1"/>
    <xf numFmtId="0" fontId="9" fillId="0" borderId="0" xfId="0" pivotButton="1" applyFont="1"/>
    <xf numFmtId="0" fontId="1" fillId="9" borderId="0" xfId="0" applyFont="1" applyFill="1"/>
    <xf numFmtId="0" fontId="0" fillId="5" borderId="8" xfId="0" applyFont="1" applyFill="1" applyBorder="1"/>
    <xf numFmtId="0" fontId="0" fillId="0" borderId="0" xfId="0" applyNumberFormat="1" applyBorder="1"/>
    <xf numFmtId="0" fontId="7" fillId="8" borderId="21" xfId="0" applyFont="1" applyFill="1" applyBorder="1"/>
    <xf numFmtId="0" fontId="0" fillId="0" borderId="0" xfId="0" applyAlignment="1">
      <alignment horizontal="center"/>
    </xf>
    <xf numFmtId="0" fontId="0" fillId="0" borderId="18" xfId="0" applyFont="1" applyFill="1" applyBorder="1"/>
    <xf numFmtId="0" fontId="0" fillId="0" borderId="11" xfId="0" applyFont="1" applyFill="1" applyBorder="1"/>
    <xf numFmtId="164" fontId="0" fillId="0" borderId="11" xfId="0" applyNumberFormat="1" applyFont="1" applyFill="1" applyBorder="1"/>
    <xf numFmtId="164" fontId="0" fillId="0" borderId="12" xfId="0" applyNumberFormat="1" applyFont="1" applyFill="1" applyBorder="1"/>
    <xf numFmtId="0" fontId="0" fillId="0" borderId="19" xfId="0" applyFont="1" applyFill="1" applyBorder="1"/>
    <xf numFmtId="0" fontId="0" fillId="0" borderId="10" xfId="0" applyFont="1" applyFill="1" applyBorder="1"/>
    <xf numFmtId="164" fontId="0" fillId="0" borderId="10" xfId="0" applyNumberFormat="1" applyFont="1" applyFill="1" applyBorder="1"/>
    <xf numFmtId="0" fontId="0" fillId="0" borderId="0" xfId="0" applyFill="1" applyAlignment="1"/>
    <xf numFmtId="0" fontId="0" fillId="0" borderId="0" xfId="0" applyFill="1"/>
    <xf numFmtId="0" fontId="0" fillId="0" borderId="0" xfId="0" applyFill="1" applyAlignment="1">
      <alignment horizontal="center"/>
    </xf>
    <xf numFmtId="0" fontId="2" fillId="0" borderId="0" xfId="0" applyFont="1" applyFill="1" applyBorder="1"/>
    <xf numFmtId="0" fontId="2" fillId="0" borderId="12" xfId="0" applyFont="1" applyFill="1" applyBorder="1"/>
    <xf numFmtId="0" fontId="2" fillId="0" borderId="20" xfId="0" applyFont="1" applyFill="1" applyBorder="1"/>
    <xf numFmtId="165" fontId="2" fillId="0" borderId="12" xfId="0" applyNumberFormat="1" applyFont="1" applyFill="1" applyBorder="1"/>
    <xf numFmtId="166" fontId="2" fillId="0" borderId="12" xfId="0" applyNumberFormat="1" applyFont="1" applyFill="1" applyBorder="1"/>
    <xf numFmtId="166" fontId="0" fillId="0" borderId="11" xfId="0" applyNumberFormat="1" applyFont="1" applyFill="1" applyBorder="1"/>
    <xf numFmtId="166" fontId="0" fillId="0" borderId="0" xfId="0" applyNumberFormat="1"/>
    <xf numFmtId="1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458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Normal" xfId="0" builtinId="0"/>
  </cellStyles>
  <dxfs count="350">
    <dxf>
      <alignment horizontal="right"/>
    </dxf>
    <dxf>
      <alignment horizontal="right"/>
    </dxf>
    <dxf>
      <alignment horizontal="center"/>
    </dxf>
    <dxf>
      <alignment horizontal="right"/>
    </dxf>
    <dxf>
      <alignment horizontal="center"/>
    </dxf>
    <dxf>
      <alignment horizontal="right"/>
    </dxf>
    <dxf>
      <alignment horizontal="left"/>
    </dxf>
    <dxf>
      <alignment horizontal="left"/>
    </dxf>
    <dxf>
      <alignment horizontal="right"/>
    </dxf>
    <dxf>
      <alignment horizontal="right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6" formatCode="0.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numFmt numFmtId="166" formatCode="0.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0" formatCode="General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6" formatCode="0.000"/>
      <fill>
        <patternFill patternType="none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6" formatCode="0.000"/>
      <fill>
        <patternFill patternType="none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</border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none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ck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79998168889431442"/>
          <bgColor theme="4" tint="0.79998168889431442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/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none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79998168889431442"/>
          <bgColor theme="4" tint="0.79998168889431442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ck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79998168889431442"/>
          <bgColor theme="4" tint="0.79998168889431442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/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/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/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/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/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border outline="0">
        <bottom style="thick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0" formatCode="General"/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numFmt numFmtId="0" formatCode="General"/>
    </dxf>
    <dxf>
      <numFmt numFmtId="0" formatCode="General"/>
    </dxf>
    <dxf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numFmt numFmtId="0" formatCode="General"/>
    </dxf>
    <dxf>
      <numFmt numFmtId="0" formatCode="General"/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 val="0"/>
      </font>
    </dxf>
    <dxf>
      <font>
        <b val="0"/>
      </font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ont>
        <b/>
      </font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2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Encryption Throughput (MB/sec)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773311046917952"/>
          <c:y val="0.0929116684841875"/>
          <c:w val="0.801289195359456"/>
          <c:h val="0.845263655020222"/>
        </c:manualLayout>
      </c:layout>
      <c:lineChart>
        <c:grouping val="standard"/>
        <c:varyColors val="0"/>
        <c:ser>
          <c:idx val="1"/>
          <c:order val="0"/>
          <c:tx>
            <c:strRef>
              <c:f>'Encryption Summary Table'!$A$6:$B$6</c:f>
              <c:strCache>
                <c:ptCount val="1"/>
                <c:pt idx="0">
                  <c:v>CBC 16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Table'!$C$6:$F$6</c:f>
              <c:numCache>
                <c:formatCode>0.000</c:formatCode>
                <c:ptCount val="4"/>
                <c:pt idx="0">
                  <c:v>8.52697089420809</c:v>
                </c:pt>
                <c:pt idx="1">
                  <c:v>8.227543713392265</c:v>
                </c:pt>
                <c:pt idx="2">
                  <c:v>8.4005376344086</c:v>
                </c:pt>
                <c:pt idx="3">
                  <c:v>8.286670369556695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'Encryption Summary Table'!$A$7:$B$7</c:f>
              <c:strCache>
                <c:ptCount val="1"/>
                <c:pt idx="0">
                  <c:v>CBC 24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Table'!$C$7:$F$7</c:f>
              <c:numCache>
                <c:formatCode>0.000</c:formatCode>
                <c:ptCount val="4"/>
                <c:pt idx="0">
                  <c:v>8.3744259435696</c:v>
                </c:pt>
                <c:pt idx="1">
                  <c:v>8.459855262705065</c:v>
                </c:pt>
                <c:pt idx="2">
                  <c:v>8.393070311855438</c:v>
                </c:pt>
                <c:pt idx="3">
                  <c:v>7.647252324316626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'Encryption Summary Table'!$A$8:$B$8</c:f>
              <c:strCache>
                <c:ptCount val="1"/>
                <c:pt idx="0">
                  <c:v>CBC 32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Table'!$C$8:$F$8</c:f>
              <c:numCache>
                <c:formatCode>0.000</c:formatCode>
                <c:ptCount val="4"/>
                <c:pt idx="0">
                  <c:v>8.479606546256256</c:v>
                </c:pt>
                <c:pt idx="1">
                  <c:v>8.289429200515727</c:v>
                </c:pt>
                <c:pt idx="2">
                  <c:v>8.453711365271001</c:v>
                </c:pt>
                <c:pt idx="3">
                  <c:v>7.382060198047988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'Encryption Summary Table'!$A$9:$B$9</c:f>
              <c:strCache>
                <c:ptCount val="1"/>
                <c:pt idx="0">
                  <c:v>CFB 16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Table'!$C$9:$F$9</c:f>
              <c:numCache>
                <c:formatCode>0.000</c:formatCode>
                <c:ptCount val="4"/>
                <c:pt idx="0">
                  <c:v>8.484877487702443</c:v>
                </c:pt>
                <c:pt idx="1">
                  <c:v>8.228777390637573</c:v>
                </c:pt>
                <c:pt idx="2">
                  <c:v>8.314454671131304</c:v>
                </c:pt>
                <c:pt idx="3">
                  <c:v>8.278431326515465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'Encryption Summary Table'!$A$10:$B$10</c:f>
              <c:strCache>
                <c:ptCount val="1"/>
                <c:pt idx="0">
                  <c:v>CFB 24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Table'!$C$10:$F$10</c:f>
              <c:numCache>
                <c:formatCode>0.000</c:formatCode>
                <c:ptCount val="4"/>
                <c:pt idx="0">
                  <c:v>8.316121041807053</c:v>
                </c:pt>
                <c:pt idx="1">
                  <c:v>8.43364564472539</c:v>
                </c:pt>
                <c:pt idx="2">
                  <c:v>8.423870283180197</c:v>
                </c:pt>
                <c:pt idx="3">
                  <c:v>7.47385159161216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'Encryption Summary Table'!$A$11:$B$11</c:f>
              <c:strCache>
                <c:ptCount val="1"/>
                <c:pt idx="0">
                  <c:v>CFB 32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Table'!$C$11:$F$11</c:f>
              <c:numCache>
                <c:formatCode>0.000</c:formatCode>
                <c:ptCount val="4"/>
                <c:pt idx="0">
                  <c:v>8.48157788560879</c:v>
                </c:pt>
                <c:pt idx="1">
                  <c:v>8.257557308190898</c:v>
                </c:pt>
                <c:pt idx="2">
                  <c:v>8.439633328314567</c:v>
                </c:pt>
                <c:pt idx="3">
                  <c:v>7.218954470364345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'Encryption Summary Table'!$A$12:$B$12</c:f>
              <c:strCache>
                <c:ptCount val="1"/>
                <c:pt idx="0">
                  <c:v>CTR 16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Table'!$C$12:$F$12</c:f>
              <c:numCache>
                <c:formatCode>0.000</c:formatCode>
                <c:ptCount val="4"/>
                <c:pt idx="0">
                  <c:v>8.53915617254185</c:v>
                </c:pt>
                <c:pt idx="1">
                  <c:v>8.273843159936912</c:v>
                </c:pt>
                <c:pt idx="2">
                  <c:v>8.478188841821755</c:v>
                </c:pt>
                <c:pt idx="3">
                  <c:v>8.311919588152175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'Encryption Summary Table'!$A$13:$B$13</c:f>
              <c:strCache>
                <c:ptCount val="1"/>
                <c:pt idx="0">
                  <c:v>CTR 24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Table'!$C$13:$F$13</c:f>
              <c:numCache>
                <c:formatCode>0.000</c:formatCode>
                <c:ptCount val="4"/>
                <c:pt idx="0">
                  <c:v>8.403374055523782</c:v>
                </c:pt>
                <c:pt idx="1">
                  <c:v>8.467533579528565</c:v>
                </c:pt>
                <c:pt idx="2">
                  <c:v>8.418825807843168</c:v>
                </c:pt>
                <c:pt idx="3">
                  <c:v>7.454047616281469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'Encryption Summary Table'!$A$14:$B$14</c:f>
              <c:strCache>
                <c:ptCount val="1"/>
                <c:pt idx="0">
                  <c:v>CTR 32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Table'!$C$14:$F$14</c:f>
              <c:numCache>
                <c:formatCode>0.000</c:formatCode>
                <c:ptCount val="4"/>
                <c:pt idx="0">
                  <c:v>8.573152264928234</c:v>
                </c:pt>
                <c:pt idx="1">
                  <c:v>8.32250935508309</c:v>
                </c:pt>
                <c:pt idx="2">
                  <c:v>8.454273834098572</c:v>
                </c:pt>
                <c:pt idx="3">
                  <c:v>7.363343040578033</c:v>
                </c:pt>
              </c:numCache>
            </c:numRef>
          </c:val>
          <c:smooth val="0"/>
        </c:ser>
        <c:ser>
          <c:idx val="0"/>
          <c:order val="9"/>
          <c:tx>
            <c:strRef>
              <c:f>'Encryption Summary Table'!$A$15:$B$15</c:f>
              <c:strCache>
                <c:ptCount val="1"/>
                <c:pt idx="0">
                  <c:v>ECB 16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Table'!$C$15:$F$15</c:f>
              <c:numCache>
                <c:formatCode>0.000</c:formatCode>
                <c:ptCount val="4"/>
                <c:pt idx="0">
                  <c:v>8.498821680868055</c:v>
                </c:pt>
                <c:pt idx="1">
                  <c:v>8.218229901102477</c:v>
                </c:pt>
                <c:pt idx="2">
                  <c:v>8.46000713517002</c:v>
                </c:pt>
                <c:pt idx="3">
                  <c:v>8.318358663060398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'Encryption Summary Table'!$A$16:$B$16</c:f>
              <c:strCache>
                <c:ptCount val="1"/>
                <c:pt idx="0">
                  <c:v>ECB 24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Table'!$C$16:$F$16</c:f>
              <c:numCache>
                <c:formatCode>0.000</c:formatCode>
                <c:ptCount val="4"/>
                <c:pt idx="0">
                  <c:v>8.380059146457455</c:v>
                </c:pt>
                <c:pt idx="1">
                  <c:v>8.452999345636413</c:v>
                </c:pt>
                <c:pt idx="2">
                  <c:v>8.381315667084417</c:v>
                </c:pt>
                <c:pt idx="3">
                  <c:v>7.487358574837448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'Encryption Summary Table'!$A$17:$B$17</c:f>
              <c:strCache>
                <c:ptCount val="1"/>
                <c:pt idx="0">
                  <c:v>ECB 32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Table'!$C$17:$F$17</c:f>
              <c:numCache>
                <c:formatCode>0.000</c:formatCode>
                <c:ptCount val="4"/>
                <c:pt idx="0">
                  <c:v>8.4876508499576</c:v>
                </c:pt>
                <c:pt idx="1">
                  <c:v>8.32693269773301</c:v>
                </c:pt>
                <c:pt idx="2">
                  <c:v>8.436335363903014</c:v>
                </c:pt>
                <c:pt idx="3">
                  <c:v>7.438306727585237</c:v>
                </c:pt>
              </c:numCache>
            </c:numRef>
          </c:val>
          <c:smooth val="0"/>
        </c:ser>
        <c:ser>
          <c:idx val="13"/>
          <c:order val="12"/>
          <c:tx>
            <c:strRef>
              <c:f>'Encryption Summary Table'!$A$18:$B$18</c:f>
              <c:strCache>
                <c:ptCount val="1"/>
                <c:pt idx="0">
                  <c:v>OFB 16</c:v>
                </c:pt>
              </c:strCache>
            </c:strRef>
          </c:tx>
          <c:spPr>
            <a:effectLst/>
          </c:spPr>
          <c:marker>
            <c:spPr>
              <a:effectLst/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Table'!$C$18:$F$18</c:f>
              <c:numCache>
                <c:formatCode>0.000</c:formatCode>
                <c:ptCount val="4"/>
                <c:pt idx="0">
                  <c:v>8.536875203177631</c:v>
                </c:pt>
                <c:pt idx="1">
                  <c:v>8.245038045408855</c:v>
                </c:pt>
                <c:pt idx="2">
                  <c:v>8.193829964098734</c:v>
                </c:pt>
                <c:pt idx="3">
                  <c:v>8.26887380135245</c:v>
                </c:pt>
              </c:numCache>
            </c:numRef>
          </c:val>
          <c:smooth val="0"/>
        </c:ser>
        <c:ser>
          <c:idx val="14"/>
          <c:order val="13"/>
          <c:tx>
            <c:strRef>
              <c:f>'Encryption Summary Table'!$A$19:$B$19</c:f>
              <c:strCache>
                <c:ptCount val="1"/>
                <c:pt idx="0">
                  <c:v>OFB 24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Table'!$C$19:$F$19</c:f>
              <c:numCache>
                <c:formatCode>0.000</c:formatCode>
                <c:ptCount val="4"/>
                <c:pt idx="0">
                  <c:v>8.38124050405451</c:v>
                </c:pt>
                <c:pt idx="1">
                  <c:v>8.458785152998192</c:v>
                </c:pt>
                <c:pt idx="2">
                  <c:v>8.399925845454635</c:v>
                </c:pt>
                <c:pt idx="3">
                  <c:v>7.48780840008671</c:v>
                </c:pt>
              </c:numCache>
            </c:numRef>
          </c:val>
          <c:smooth val="0"/>
        </c:ser>
        <c:ser>
          <c:idx val="15"/>
          <c:order val="14"/>
          <c:tx>
            <c:strRef>
              <c:f>'Encryption Summary Table'!$A$20:$B$20</c:f>
              <c:strCache>
                <c:ptCount val="1"/>
                <c:pt idx="0">
                  <c:v>OFB 32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Table'!$C$20:$F$20</c:f>
              <c:numCache>
                <c:formatCode>0.000</c:formatCode>
                <c:ptCount val="4"/>
                <c:pt idx="0">
                  <c:v>8.42457853939712</c:v>
                </c:pt>
                <c:pt idx="1">
                  <c:v>8.264977287677114</c:v>
                </c:pt>
                <c:pt idx="2">
                  <c:v>8.407471114241307</c:v>
                </c:pt>
                <c:pt idx="3">
                  <c:v>7.206154078101931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3809352"/>
        <c:axId val="2083806392"/>
      </c:lineChart>
      <c:catAx>
        <c:axId val="2083809352"/>
        <c:scaling>
          <c:orientation val="minMax"/>
        </c:scaling>
        <c:delete val="0"/>
        <c:axPos val="b"/>
        <c:title>
          <c:tx>
            <c:strRef>
              <c:f>'Encryption Summary Table'!$C$4</c:f>
              <c:strCache>
                <c:ptCount val="1"/>
                <c:pt idx="0">
                  <c:v>Test Size (MB)</c:v>
                </c:pt>
              </c:strCache>
            </c:strRef>
          </c:tx>
          <c:layout/>
          <c:overlay val="0"/>
        </c:title>
        <c:numFmt formatCode="0.000" sourceLinked="1"/>
        <c:majorTickMark val="none"/>
        <c:minorTickMark val="none"/>
        <c:tickLblPos val="nextTo"/>
        <c:crossAx val="2083806392"/>
        <c:crossesAt val="0.0"/>
        <c:auto val="1"/>
        <c:lblAlgn val="ctr"/>
        <c:lblOffset val="100"/>
        <c:noMultiLvlLbl val="0"/>
      </c:catAx>
      <c:valAx>
        <c:axId val="2083806392"/>
        <c:scaling>
          <c:orientation val="minMax"/>
        </c:scaling>
        <c:delete val="0"/>
        <c:axPos val="l"/>
        <c:majorGridlines/>
        <c:title>
          <c:tx>
            <c:strRef>
              <c:f>'Encryption Summary Table'!$A$4</c:f>
              <c:strCache>
                <c:ptCount val="1"/>
                <c:pt idx="0">
                  <c:v>Average of Throughput (MB/s)</c:v>
                </c:pt>
              </c:strCache>
            </c:strRef>
          </c:tx>
          <c:layout>
            <c:manualLayout>
              <c:xMode val="edge"/>
              <c:yMode val="edge"/>
              <c:x val="0.0153061224489796"/>
              <c:y val="0.362313088726505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crossAx val="20838093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Encryption Throughput</a:t>
            </a:r>
            <a:r>
              <a:rPr lang="en-US" baseline="0"/>
              <a:t> (MB/sec)</a:t>
            </a:r>
            <a:endParaRPr lang="en-US"/>
          </a:p>
        </c:rich>
      </c:tx>
      <c:layout>
        <c:manualLayout>
          <c:xMode val="edge"/>
          <c:yMode val="edge"/>
          <c:x val="0.319746694399049"/>
          <c:y val="0.012987012987013"/>
        </c:manualLayout>
      </c:layout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'Encryption Summary Table'!$C$4:$C$5</c:f>
              <c:strCache>
                <c:ptCount val="1"/>
                <c:pt idx="0">
                  <c:v>Test Size (MB) 1</c:v>
                </c:pt>
              </c:strCache>
            </c:strRef>
          </c:tx>
          <c:marker>
            <c:symbol val="none"/>
          </c:marker>
          <c:cat>
            <c:multiLvlStrRef>
              <c:f>'Encryption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'Encryption Summary Table'!$C$6:$C$20</c:f>
              <c:numCache>
                <c:formatCode>0.000</c:formatCode>
                <c:ptCount val="15"/>
                <c:pt idx="0">
                  <c:v>8.52697089420809</c:v>
                </c:pt>
                <c:pt idx="1">
                  <c:v>8.3744259435696</c:v>
                </c:pt>
                <c:pt idx="2">
                  <c:v>8.479606546256256</c:v>
                </c:pt>
                <c:pt idx="3">
                  <c:v>8.484877487702443</c:v>
                </c:pt>
                <c:pt idx="4">
                  <c:v>8.316121041807053</c:v>
                </c:pt>
                <c:pt idx="5">
                  <c:v>8.48157788560879</c:v>
                </c:pt>
                <c:pt idx="6">
                  <c:v>8.53915617254185</c:v>
                </c:pt>
                <c:pt idx="7">
                  <c:v>8.403374055523782</c:v>
                </c:pt>
                <c:pt idx="8">
                  <c:v>8.573152264928234</c:v>
                </c:pt>
                <c:pt idx="9">
                  <c:v>8.498821680868055</c:v>
                </c:pt>
                <c:pt idx="10">
                  <c:v>8.380059146457455</c:v>
                </c:pt>
                <c:pt idx="11">
                  <c:v>8.4876508499576</c:v>
                </c:pt>
                <c:pt idx="12">
                  <c:v>8.536875203177631</c:v>
                </c:pt>
                <c:pt idx="13">
                  <c:v>8.38124050405451</c:v>
                </c:pt>
                <c:pt idx="14">
                  <c:v>8.42457853939712</c:v>
                </c:pt>
              </c:numCache>
            </c:numRef>
          </c:val>
        </c:ser>
        <c:ser>
          <c:idx val="1"/>
          <c:order val="1"/>
          <c:tx>
            <c:strRef>
              <c:f>'Encryption Summary Table'!$D$4:$D$5</c:f>
              <c:strCache>
                <c:ptCount val="1"/>
                <c:pt idx="0">
                  <c:v>Test Size (MB) 5</c:v>
                </c:pt>
              </c:strCache>
            </c:strRef>
          </c:tx>
          <c:marker>
            <c:symbol val="none"/>
          </c:marker>
          <c:cat>
            <c:multiLvlStrRef>
              <c:f>'Encryption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'Encryption Summary Table'!$D$6:$D$20</c:f>
              <c:numCache>
                <c:formatCode>0.000</c:formatCode>
                <c:ptCount val="15"/>
                <c:pt idx="0">
                  <c:v>8.227543713392265</c:v>
                </c:pt>
                <c:pt idx="1">
                  <c:v>8.459855262705065</c:v>
                </c:pt>
                <c:pt idx="2">
                  <c:v>8.289429200515727</c:v>
                </c:pt>
                <c:pt idx="3">
                  <c:v>8.228777390637573</c:v>
                </c:pt>
                <c:pt idx="4">
                  <c:v>8.43364564472539</c:v>
                </c:pt>
                <c:pt idx="5">
                  <c:v>8.257557308190898</c:v>
                </c:pt>
                <c:pt idx="6">
                  <c:v>8.273843159936912</c:v>
                </c:pt>
                <c:pt idx="7">
                  <c:v>8.467533579528565</c:v>
                </c:pt>
                <c:pt idx="8">
                  <c:v>8.32250935508309</c:v>
                </c:pt>
                <c:pt idx="9">
                  <c:v>8.218229901102477</c:v>
                </c:pt>
                <c:pt idx="10">
                  <c:v>8.452999345636413</c:v>
                </c:pt>
                <c:pt idx="11">
                  <c:v>8.32693269773301</c:v>
                </c:pt>
                <c:pt idx="12">
                  <c:v>8.245038045408855</c:v>
                </c:pt>
                <c:pt idx="13">
                  <c:v>8.458785152998192</c:v>
                </c:pt>
                <c:pt idx="14">
                  <c:v>8.264977287677114</c:v>
                </c:pt>
              </c:numCache>
            </c:numRef>
          </c:val>
        </c:ser>
        <c:ser>
          <c:idx val="2"/>
          <c:order val="2"/>
          <c:tx>
            <c:strRef>
              <c:f>'Encryption Summary Table'!$E$4:$E$5</c:f>
              <c:strCache>
                <c:ptCount val="1"/>
                <c:pt idx="0">
                  <c:v>Test Size (MB) 10</c:v>
                </c:pt>
              </c:strCache>
            </c:strRef>
          </c:tx>
          <c:marker>
            <c:symbol val="none"/>
          </c:marker>
          <c:cat>
            <c:multiLvlStrRef>
              <c:f>'Encryption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'Encryption Summary Table'!$E$6:$E$20</c:f>
              <c:numCache>
                <c:formatCode>0.000</c:formatCode>
                <c:ptCount val="15"/>
                <c:pt idx="0">
                  <c:v>8.4005376344086</c:v>
                </c:pt>
                <c:pt idx="1">
                  <c:v>8.393070311855438</c:v>
                </c:pt>
                <c:pt idx="2">
                  <c:v>8.453711365271001</c:v>
                </c:pt>
                <c:pt idx="3">
                  <c:v>8.314454671131304</c:v>
                </c:pt>
                <c:pt idx="4">
                  <c:v>8.423870283180197</c:v>
                </c:pt>
                <c:pt idx="5">
                  <c:v>8.439633328314567</c:v>
                </c:pt>
                <c:pt idx="6">
                  <c:v>8.478188841821755</c:v>
                </c:pt>
                <c:pt idx="7">
                  <c:v>8.418825807843168</c:v>
                </c:pt>
                <c:pt idx="8">
                  <c:v>8.454273834098572</c:v>
                </c:pt>
                <c:pt idx="9">
                  <c:v>8.46000713517002</c:v>
                </c:pt>
                <c:pt idx="10">
                  <c:v>8.381315667084417</c:v>
                </c:pt>
                <c:pt idx="11">
                  <c:v>8.436335363903014</c:v>
                </c:pt>
                <c:pt idx="12">
                  <c:v>8.193829964098734</c:v>
                </c:pt>
                <c:pt idx="13">
                  <c:v>8.399925845454635</c:v>
                </c:pt>
                <c:pt idx="14">
                  <c:v>8.407471114241307</c:v>
                </c:pt>
              </c:numCache>
            </c:numRef>
          </c:val>
        </c:ser>
        <c:ser>
          <c:idx val="3"/>
          <c:order val="3"/>
          <c:tx>
            <c:strRef>
              <c:f>'Encryption Summary Table'!$F$4:$F$5</c:f>
              <c:strCache>
                <c:ptCount val="1"/>
                <c:pt idx="0">
                  <c:v>Test Size (MB) 256</c:v>
                </c:pt>
              </c:strCache>
            </c:strRef>
          </c:tx>
          <c:marker>
            <c:symbol val="none"/>
          </c:marker>
          <c:cat>
            <c:multiLvlStrRef>
              <c:f>'Encryption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'Encryption Summary Table'!$F$6:$F$20</c:f>
              <c:numCache>
                <c:formatCode>0.000</c:formatCode>
                <c:ptCount val="15"/>
                <c:pt idx="0">
                  <c:v>8.286670369556695</c:v>
                </c:pt>
                <c:pt idx="1">
                  <c:v>7.647252324316626</c:v>
                </c:pt>
                <c:pt idx="2">
                  <c:v>7.382060198047988</c:v>
                </c:pt>
                <c:pt idx="3">
                  <c:v>8.278431326515465</c:v>
                </c:pt>
                <c:pt idx="4">
                  <c:v>7.47385159161216</c:v>
                </c:pt>
                <c:pt idx="5">
                  <c:v>7.218954470364345</c:v>
                </c:pt>
                <c:pt idx="6">
                  <c:v>8.311919588152175</c:v>
                </c:pt>
                <c:pt idx="7">
                  <c:v>7.454047616281469</c:v>
                </c:pt>
                <c:pt idx="8">
                  <c:v>7.363343040578033</c:v>
                </c:pt>
                <c:pt idx="9">
                  <c:v>8.318358663060398</c:v>
                </c:pt>
                <c:pt idx="10">
                  <c:v>7.487358574837448</c:v>
                </c:pt>
                <c:pt idx="11">
                  <c:v>7.438306727585237</c:v>
                </c:pt>
                <c:pt idx="12">
                  <c:v>8.26887380135245</c:v>
                </c:pt>
                <c:pt idx="13">
                  <c:v>7.48780840008671</c:v>
                </c:pt>
                <c:pt idx="14">
                  <c:v>7.206154078101931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709064"/>
        <c:axId val="2083705656"/>
      </c:radarChart>
      <c:catAx>
        <c:axId val="208370906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spPr>
          <a:ln w="9525">
            <a:noFill/>
          </a:ln>
        </c:spPr>
        <c:crossAx val="2083705656"/>
        <c:crosses val="autoZero"/>
        <c:auto val="1"/>
        <c:lblAlgn val="ctr"/>
        <c:lblOffset val="100"/>
        <c:noMultiLvlLbl val="0"/>
      </c:catAx>
      <c:valAx>
        <c:axId val="2083705656"/>
        <c:scaling>
          <c:orientation val="minMax"/>
        </c:scaling>
        <c:delete val="0"/>
        <c:axPos val="l"/>
        <c:majorGridlines/>
        <c:numFmt formatCode="0.000" sourceLinked="1"/>
        <c:majorTickMark val="none"/>
        <c:minorTickMark val="none"/>
        <c:tickLblPos val="nextTo"/>
        <c:crossAx val="2083709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Decryption Throughput (MB/sec)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0522707610088"/>
          <c:y val="0.0920802534318902"/>
          <c:w val="0.799264945845608"/>
          <c:h val="0.850165545568683"/>
        </c:manualLayout>
      </c:layout>
      <c:lineChart>
        <c:grouping val="standard"/>
        <c:varyColors val="0"/>
        <c:ser>
          <c:idx val="1"/>
          <c:order val="0"/>
          <c:tx>
            <c:strRef>
              <c:f>'Decryption Summary Table'!$A$6:$B$6</c:f>
              <c:strCache>
                <c:ptCount val="1"/>
                <c:pt idx="0">
                  <c:v>CBC 16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Table'!$C$6:$F$6</c:f>
              <c:numCache>
                <c:formatCode>0.000</c:formatCode>
                <c:ptCount val="4"/>
                <c:pt idx="0">
                  <c:v>15.39668638674259</c:v>
                </c:pt>
                <c:pt idx="1">
                  <c:v>13.46827648486065</c:v>
                </c:pt>
                <c:pt idx="2">
                  <c:v>14.01500171389456</c:v>
                </c:pt>
                <c:pt idx="3">
                  <c:v>12.45252474939294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'Decryption Summary Table'!$A$7:$B$7</c:f>
              <c:strCache>
                <c:ptCount val="1"/>
                <c:pt idx="0">
                  <c:v>CBC 24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Table'!$C$7:$F$7</c:f>
              <c:numCache>
                <c:formatCode>0.000</c:formatCode>
                <c:ptCount val="4"/>
                <c:pt idx="0">
                  <c:v>15.3341424649174</c:v>
                </c:pt>
                <c:pt idx="1">
                  <c:v>14.08194293861535</c:v>
                </c:pt>
                <c:pt idx="2">
                  <c:v>14.01784940425331</c:v>
                </c:pt>
                <c:pt idx="3">
                  <c:v>12.09216001971023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'Decryption Summary Table'!$A$8:$B$8</c:f>
              <c:strCache>
                <c:ptCount val="1"/>
                <c:pt idx="0">
                  <c:v>CBC 32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Table'!$C$8:$F$8</c:f>
              <c:numCache>
                <c:formatCode>0.000</c:formatCode>
                <c:ptCount val="4"/>
                <c:pt idx="0">
                  <c:v>14.7445499351461</c:v>
                </c:pt>
                <c:pt idx="1">
                  <c:v>14.04276009213848</c:v>
                </c:pt>
                <c:pt idx="2">
                  <c:v>13.83351563140232</c:v>
                </c:pt>
                <c:pt idx="3">
                  <c:v>13.9984262706716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'Decryption Summary Table'!$A$9:$B$9</c:f>
              <c:strCache>
                <c:ptCount val="1"/>
                <c:pt idx="0">
                  <c:v>CFB 16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Table'!$C$9:$F$9</c:f>
              <c:numCache>
                <c:formatCode>0.000</c:formatCode>
                <c:ptCount val="4"/>
                <c:pt idx="0">
                  <c:v>6.59932234198599</c:v>
                </c:pt>
                <c:pt idx="1">
                  <c:v>4.867406303450814</c:v>
                </c:pt>
                <c:pt idx="2">
                  <c:v>6.178964309189939</c:v>
                </c:pt>
                <c:pt idx="3">
                  <c:v>6.223795178401566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'Decryption Summary Table'!$A$10:$B$10</c:f>
              <c:strCache>
                <c:ptCount val="1"/>
                <c:pt idx="0">
                  <c:v>CFB 24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Table'!$C$10:$F$10</c:f>
              <c:numCache>
                <c:formatCode>0.000</c:formatCode>
                <c:ptCount val="4"/>
                <c:pt idx="0">
                  <c:v>5.243077185069457</c:v>
                </c:pt>
                <c:pt idx="1">
                  <c:v>6.284610686530494</c:v>
                </c:pt>
                <c:pt idx="2">
                  <c:v>4.894657187999867</c:v>
                </c:pt>
                <c:pt idx="3">
                  <c:v>5.630120316770798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'Decryption Summary Table'!$A$11:$B$11</c:f>
              <c:strCache>
                <c:ptCount val="1"/>
                <c:pt idx="0">
                  <c:v>CFB 32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Table'!$C$11:$F$11</c:f>
              <c:numCache>
                <c:formatCode>0.000</c:formatCode>
                <c:ptCount val="4"/>
                <c:pt idx="0">
                  <c:v>6.627905789886641</c:v>
                </c:pt>
                <c:pt idx="1">
                  <c:v>6.288230080805012</c:v>
                </c:pt>
                <c:pt idx="2">
                  <c:v>6.070112592697449</c:v>
                </c:pt>
                <c:pt idx="3">
                  <c:v>6.447916076342318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'Decryption Summary Table'!$A$12:$B$12</c:f>
              <c:strCache>
                <c:ptCount val="1"/>
                <c:pt idx="0">
                  <c:v>CTR 16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Table'!$C$12:$F$12</c:f>
              <c:numCache>
                <c:formatCode>0.000</c:formatCode>
                <c:ptCount val="4"/>
                <c:pt idx="0">
                  <c:v>6.801325197406762</c:v>
                </c:pt>
                <c:pt idx="1">
                  <c:v>6.377446329420585</c:v>
                </c:pt>
                <c:pt idx="2">
                  <c:v>6.489460694017972</c:v>
                </c:pt>
                <c:pt idx="3">
                  <c:v>6.378233322053494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'Decryption Summary Table'!$A$13:$B$13</c:f>
              <c:strCache>
                <c:ptCount val="1"/>
                <c:pt idx="0">
                  <c:v>CTR 24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Table'!$C$13:$F$13</c:f>
              <c:numCache>
                <c:formatCode>0.000</c:formatCode>
                <c:ptCount val="4"/>
                <c:pt idx="0">
                  <c:v>7.064541153460131</c:v>
                </c:pt>
                <c:pt idx="1">
                  <c:v>6.537857877927188</c:v>
                </c:pt>
                <c:pt idx="2">
                  <c:v>6.501134773074637</c:v>
                </c:pt>
                <c:pt idx="3">
                  <c:v>5.906007096713496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'Decryption Summary Table'!$A$14:$B$14</c:f>
              <c:strCache>
                <c:ptCount val="1"/>
                <c:pt idx="0">
                  <c:v>CTR 32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Table'!$C$14:$F$14</c:f>
              <c:numCache>
                <c:formatCode>0.000</c:formatCode>
                <c:ptCount val="4"/>
                <c:pt idx="0">
                  <c:v>6.873610456686116</c:v>
                </c:pt>
                <c:pt idx="1">
                  <c:v>6.486524802563807</c:v>
                </c:pt>
                <c:pt idx="2">
                  <c:v>6.404339375421924</c:v>
                </c:pt>
                <c:pt idx="3">
                  <c:v>6.736741054147345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'Decryption Summary Table'!$A$15:$B$15</c:f>
              <c:strCache>
                <c:ptCount val="1"/>
                <c:pt idx="0">
                  <c:v>ECB 16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Table'!$C$15:$F$15</c:f>
              <c:numCache>
                <c:formatCode>0.000</c:formatCode>
                <c:ptCount val="4"/>
                <c:pt idx="0">
                  <c:v>15.0378133335178</c:v>
                </c:pt>
                <c:pt idx="1">
                  <c:v>14.27232969492638</c:v>
                </c:pt>
                <c:pt idx="2">
                  <c:v>13.65638774942265</c:v>
                </c:pt>
                <c:pt idx="3">
                  <c:v>12.42011344221116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'Decryption Summary Table'!$A$16:$B$16</c:f>
              <c:strCache>
                <c:ptCount val="1"/>
                <c:pt idx="0">
                  <c:v>ECB 24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Table'!$C$16:$F$16</c:f>
              <c:numCache>
                <c:formatCode>0.000</c:formatCode>
                <c:ptCount val="4"/>
                <c:pt idx="0">
                  <c:v>15.29808939101978</c:v>
                </c:pt>
                <c:pt idx="1">
                  <c:v>14.03089322069333</c:v>
                </c:pt>
                <c:pt idx="2">
                  <c:v>13.95828171095481</c:v>
                </c:pt>
                <c:pt idx="3">
                  <c:v>12.02483861938506</c:v>
                </c:pt>
              </c:numCache>
            </c:numRef>
          </c:val>
          <c:smooth val="0"/>
        </c:ser>
        <c:ser>
          <c:idx val="12"/>
          <c:order val="11"/>
          <c:tx>
            <c:strRef>
              <c:f>'Decryption Summary Table'!$A$17:$B$17</c:f>
              <c:strCache>
                <c:ptCount val="1"/>
                <c:pt idx="0">
                  <c:v>ECB 32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Table'!$C$17:$F$17</c:f>
              <c:numCache>
                <c:formatCode>0.000</c:formatCode>
                <c:ptCount val="4"/>
                <c:pt idx="0">
                  <c:v>14.94058800476963</c:v>
                </c:pt>
                <c:pt idx="1">
                  <c:v>13.8214937496441</c:v>
                </c:pt>
                <c:pt idx="2">
                  <c:v>13.48033113193235</c:v>
                </c:pt>
                <c:pt idx="3">
                  <c:v>14.18562331407191</c:v>
                </c:pt>
              </c:numCache>
            </c:numRef>
          </c:val>
          <c:smooth val="0"/>
        </c:ser>
        <c:ser>
          <c:idx val="13"/>
          <c:order val="12"/>
          <c:tx>
            <c:strRef>
              <c:f>'Decryption Summary Table'!$A$18:$B$18</c:f>
              <c:strCache>
                <c:ptCount val="1"/>
                <c:pt idx="0">
                  <c:v>OFB 16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Table'!$C$18:$F$18</c:f>
              <c:numCache>
                <c:formatCode>0.000</c:formatCode>
                <c:ptCount val="4"/>
                <c:pt idx="0">
                  <c:v>6.993215811409192</c:v>
                </c:pt>
                <c:pt idx="1">
                  <c:v>6.41784691299253</c:v>
                </c:pt>
                <c:pt idx="2">
                  <c:v>6.45383677046394</c:v>
                </c:pt>
                <c:pt idx="3">
                  <c:v>6.36939220423217</c:v>
                </c:pt>
              </c:numCache>
            </c:numRef>
          </c:val>
          <c:smooth val="0"/>
        </c:ser>
        <c:ser>
          <c:idx val="14"/>
          <c:order val="13"/>
          <c:tx>
            <c:strRef>
              <c:f>'Decryption Summary Table'!$A$19:$B$19</c:f>
              <c:strCache>
                <c:ptCount val="1"/>
                <c:pt idx="0">
                  <c:v>OFB 24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Table'!$C$19:$F$19</c:f>
              <c:numCache>
                <c:formatCode>0.000</c:formatCode>
                <c:ptCount val="4"/>
                <c:pt idx="0">
                  <c:v>7.041596966592695</c:v>
                </c:pt>
                <c:pt idx="1">
                  <c:v>6.633357483176811</c:v>
                </c:pt>
                <c:pt idx="2">
                  <c:v>6.65596476279007</c:v>
                </c:pt>
                <c:pt idx="3">
                  <c:v>6.056828572634528</c:v>
                </c:pt>
              </c:numCache>
            </c:numRef>
          </c:val>
          <c:smooth val="0"/>
        </c:ser>
        <c:ser>
          <c:idx val="15"/>
          <c:order val="14"/>
          <c:tx>
            <c:strRef>
              <c:f>'Decryption Summary Table'!$A$20:$B$20</c:f>
              <c:strCache>
                <c:ptCount val="1"/>
                <c:pt idx="0">
                  <c:v>OFB 32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Table'!$C$20:$F$20</c:f>
              <c:numCache>
                <c:formatCode>0.000</c:formatCode>
                <c:ptCount val="4"/>
                <c:pt idx="0">
                  <c:v>7.023411981968936</c:v>
                </c:pt>
                <c:pt idx="1">
                  <c:v>6.63360020395402</c:v>
                </c:pt>
                <c:pt idx="2">
                  <c:v>6.474132861118714</c:v>
                </c:pt>
                <c:pt idx="3">
                  <c:v>6.651724537536254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3596984"/>
        <c:axId val="2083594024"/>
      </c:lineChart>
      <c:catAx>
        <c:axId val="2083596984"/>
        <c:scaling>
          <c:orientation val="minMax"/>
        </c:scaling>
        <c:delete val="0"/>
        <c:axPos val="b"/>
        <c:title>
          <c:tx>
            <c:strRef>
              <c:f>'Decryption Summary Table'!$C$4</c:f>
              <c:strCache>
                <c:ptCount val="1"/>
                <c:pt idx="0">
                  <c:v>Test Size (MB)</c:v>
                </c:pt>
              </c:strCache>
            </c:strRef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083594024"/>
        <c:crosses val="autoZero"/>
        <c:auto val="1"/>
        <c:lblAlgn val="ctr"/>
        <c:lblOffset val="100"/>
        <c:noMultiLvlLbl val="0"/>
      </c:catAx>
      <c:valAx>
        <c:axId val="2083594024"/>
        <c:scaling>
          <c:orientation val="minMax"/>
          <c:min val="0.004"/>
        </c:scaling>
        <c:delete val="0"/>
        <c:axPos val="l"/>
        <c:majorGridlines/>
        <c:title>
          <c:tx>
            <c:strRef>
              <c:f>'Decryption Summary Table'!$A$4</c:f>
              <c:strCache>
                <c:ptCount val="1"/>
                <c:pt idx="0">
                  <c:v>Average of Throughput (MB/s)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#,##0.000" sourceLinked="0"/>
        <c:majorTickMark val="none"/>
        <c:minorTickMark val="none"/>
        <c:tickLblPos val="nextTo"/>
        <c:crossAx val="20835969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Decryption Throughput (MB/sec)</a:t>
            </a:r>
          </a:p>
        </c:rich>
      </c:tx>
      <c:layout/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'Decryption Summary Table'!$C$4:$C$5</c:f>
              <c:strCache>
                <c:ptCount val="1"/>
                <c:pt idx="0">
                  <c:v>Test Size (MB) 1</c:v>
                </c:pt>
              </c:strCache>
            </c:strRef>
          </c:tx>
          <c:marker>
            <c:symbol val="none"/>
          </c:marker>
          <c:cat>
            <c:multiLvlStrRef>
              <c:f>'Decryption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'Decryption Summary Table'!$C$6:$C$20</c:f>
              <c:numCache>
                <c:formatCode>0.000</c:formatCode>
                <c:ptCount val="15"/>
                <c:pt idx="0">
                  <c:v>15.39668638674259</c:v>
                </c:pt>
                <c:pt idx="1">
                  <c:v>15.3341424649174</c:v>
                </c:pt>
                <c:pt idx="2">
                  <c:v>14.7445499351461</c:v>
                </c:pt>
                <c:pt idx="3">
                  <c:v>6.59932234198599</c:v>
                </c:pt>
                <c:pt idx="4">
                  <c:v>5.243077185069457</c:v>
                </c:pt>
                <c:pt idx="5">
                  <c:v>6.627905789886641</c:v>
                </c:pt>
                <c:pt idx="6">
                  <c:v>6.801325197406762</c:v>
                </c:pt>
                <c:pt idx="7">
                  <c:v>7.064541153460131</c:v>
                </c:pt>
                <c:pt idx="8">
                  <c:v>6.873610456686116</c:v>
                </c:pt>
                <c:pt idx="9">
                  <c:v>15.0378133335178</c:v>
                </c:pt>
                <c:pt idx="10">
                  <c:v>15.29808939101978</c:v>
                </c:pt>
                <c:pt idx="11">
                  <c:v>14.94058800476963</c:v>
                </c:pt>
                <c:pt idx="12">
                  <c:v>6.993215811409192</c:v>
                </c:pt>
                <c:pt idx="13">
                  <c:v>7.041596966592695</c:v>
                </c:pt>
                <c:pt idx="14">
                  <c:v>7.023411981968936</c:v>
                </c:pt>
              </c:numCache>
            </c:numRef>
          </c:val>
        </c:ser>
        <c:ser>
          <c:idx val="1"/>
          <c:order val="1"/>
          <c:tx>
            <c:strRef>
              <c:f>'Decryption Summary Table'!$D$4:$D$5</c:f>
              <c:strCache>
                <c:ptCount val="1"/>
                <c:pt idx="0">
                  <c:v>Test Size (MB) 5</c:v>
                </c:pt>
              </c:strCache>
            </c:strRef>
          </c:tx>
          <c:marker>
            <c:symbol val="none"/>
          </c:marker>
          <c:cat>
            <c:multiLvlStrRef>
              <c:f>'Decryption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'Decryption Summary Table'!$D$6:$D$20</c:f>
              <c:numCache>
                <c:formatCode>0.000</c:formatCode>
                <c:ptCount val="15"/>
                <c:pt idx="0">
                  <c:v>13.46827648486065</c:v>
                </c:pt>
                <c:pt idx="1">
                  <c:v>14.08194293861535</c:v>
                </c:pt>
                <c:pt idx="2">
                  <c:v>14.04276009213848</c:v>
                </c:pt>
                <c:pt idx="3">
                  <c:v>4.867406303450814</c:v>
                </c:pt>
                <c:pt idx="4">
                  <c:v>6.284610686530494</c:v>
                </c:pt>
                <c:pt idx="5">
                  <c:v>6.288230080805012</c:v>
                </c:pt>
                <c:pt idx="6">
                  <c:v>6.377446329420585</c:v>
                </c:pt>
                <c:pt idx="7">
                  <c:v>6.537857877927188</c:v>
                </c:pt>
                <c:pt idx="8">
                  <c:v>6.486524802563807</c:v>
                </c:pt>
                <c:pt idx="9">
                  <c:v>14.27232969492638</c:v>
                </c:pt>
                <c:pt idx="10">
                  <c:v>14.03089322069333</c:v>
                </c:pt>
                <c:pt idx="11">
                  <c:v>13.8214937496441</c:v>
                </c:pt>
                <c:pt idx="12">
                  <c:v>6.41784691299253</c:v>
                </c:pt>
                <c:pt idx="13">
                  <c:v>6.633357483176811</c:v>
                </c:pt>
                <c:pt idx="14">
                  <c:v>6.63360020395402</c:v>
                </c:pt>
              </c:numCache>
            </c:numRef>
          </c:val>
        </c:ser>
        <c:ser>
          <c:idx val="2"/>
          <c:order val="2"/>
          <c:tx>
            <c:strRef>
              <c:f>'Decryption Summary Table'!$E$4:$E$5</c:f>
              <c:strCache>
                <c:ptCount val="1"/>
                <c:pt idx="0">
                  <c:v>Test Size (MB) 20</c:v>
                </c:pt>
              </c:strCache>
            </c:strRef>
          </c:tx>
          <c:marker>
            <c:symbol val="none"/>
          </c:marker>
          <c:cat>
            <c:multiLvlStrRef>
              <c:f>'Decryption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'Decryption Summary Table'!$E$6:$E$20</c:f>
              <c:numCache>
                <c:formatCode>0.000</c:formatCode>
                <c:ptCount val="15"/>
                <c:pt idx="0">
                  <c:v>14.01500171389456</c:v>
                </c:pt>
                <c:pt idx="1">
                  <c:v>14.01784940425331</c:v>
                </c:pt>
                <c:pt idx="2">
                  <c:v>13.83351563140232</c:v>
                </c:pt>
                <c:pt idx="3">
                  <c:v>6.178964309189939</c:v>
                </c:pt>
                <c:pt idx="4">
                  <c:v>4.894657187999867</c:v>
                </c:pt>
                <c:pt idx="5">
                  <c:v>6.070112592697449</c:v>
                </c:pt>
                <c:pt idx="6">
                  <c:v>6.489460694017972</c:v>
                </c:pt>
                <c:pt idx="7">
                  <c:v>6.501134773074637</c:v>
                </c:pt>
                <c:pt idx="8">
                  <c:v>6.404339375421924</c:v>
                </c:pt>
                <c:pt idx="9">
                  <c:v>13.65638774942265</c:v>
                </c:pt>
                <c:pt idx="10">
                  <c:v>13.95828171095481</c:v>
                </c:pt>
                <c:pt idx="11">
                  <c:v>13.48033113193235</c:v>
                </c:pt>
                <c:pt idx="12">
                  <c:v>6.45383677046394</c:v>
                </c:pt>
                <c:pt idx="13">
                  <c:v>6.65596476279007</c:v>
                </c:pt>
                <c:pt idx="14">
                  <c:v>6.474132861118714</c:v>
                </c:pt>
              </c:numCache>
            </c:numRef>
          </c:val>
        </c:ser>
        <c:ser>
          <c:idx val="3"/>
          <c:order val="3"/>
          <c:tx>
            <c:strRef>
              <c:f>'Decryption Summary Table'!$F$4:$F$5</c:f>
              <c:strCache>
                <c:ptCount val="1"/>
                <c:pt idx="0">
                  <c:v>Test Size (MB) 256</c:v>
                </c:pt>
              </c:strCache>
            </c:strRef>
          </c:tx>
          <c:marker>
            <c:symbol val="none"/>
          </c:marker>
          <c:cat>
            <c:multiLvlStrRef>
              <c:f>'Decryption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'Decryption Summary Table'!$F$6:$F$20</c:f>
              <c:numCache>
                <c:formatCode>0.000</c:formatCode>
                <c:ptCount val="15"/>
                <c:pt idx="0">
                  <c:v>12.45252474939294</c:v>
                </c:pt>
                <c:pt idx="1">
                  <c:v>12.09216001971023</c:v>
                </c:pt>
                <c:pt idx="2">
                  <c:v>13.9984262706716</c:v>
                </c:pt>
                <c:pt idx="3">
                  <c:v>6.223795178401566</c:v>
                </c:pt>
                <c:pt idx="4">
                  <c:v>5.630120316770798</c:v>
                </c:pt>
                <c:pt idx="5">
                  <c:v>6.447916076342318</c:v>
                </c:pt>
                <c:pt idx="6">
                  <c:v>6.378233322053494</c:v>
                </c:pt>
                <c:pt idx="7">
                  <c:v>5.906007096713496</c:v>
                </c:pt>
                <c:pt idx="8">
                  <c:v>6.736741054147345</c:v>
                </c:pt>
                <c:pt idx="9">
                  <c:v>12.42011344221116</c:v>
                </c:pt>
                <c:pt idx="10">
                  <c:v>12.02483861938506</c:v>
                </c:pt>
                <c:pt idx="11">
                  <c:v>14.18562331407191</c:v>
                </c:pt>
                <c:pt idx="12">
                  <c:v>6.36939220423217</c:v>
                </c:pt>
                <c:pt idx="13">
                  <c:v>6.056828572634528</c:v>
                </c:pt>
                <c:pt idx="14">
                  <c:v>6.651724537536254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562120"/>
        <c:axId val="2083558712"/>
      </c:radarChart>
      <c:catAx>
        <c:axId val="2083562120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spPr>
          <a:ln w="9525">
            <a:noFill/>
          </a:ln>
        </c:spPr>
        <c:crossAx val="2083558712"/>
        <c:crosses val="autoZero"/>
        <c:auto val="1"/>
        <c:lblAlgn val="ctr"/>
        <c:lblOffset val="100"/>
        <c:noMultiLvlLbl val="0"/>
      </c:catAx>
      <c:valAx>
        <c:axId val="2083558712"/>
        <c:scaling>
          <c:orientation val="minMax"/>
        </c:scaling>
        <c:delete val="0"/>
        <c:axPos val="l"/>
        <c:majorGridlines/>
        <c:numFmt formatCode="0.000" sourceLinked="1"/>
        <c:majorTickMark val="none"/>
        <c:minorTickMark val="none"/>
        <c:tickLblPos val="nextTo"/>
        <c:crossAx val="20835621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Mode'!$A$1:$C$1</c:f>
          <c:strCache>
            <c:ptCount val="1"/>
            <c:pt idx="0">
              <c:v>AES Encryption Performance Using  (All)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Mode'!$B$5:$E$5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Mode'!$B$6:$E$6</c:f>
              <c:numCache>
                <c:formatCode>0.000</c:formatCode>
                <c:ptCount val="4"/>
                <c:pt idx="0">
                  <c:v>8.46033446134465</c:v>
                </c:pt>
                <c:pt idx="1">
                  <c:v>8.32560939220435</c:v>
                </c:pt>
                <c:pt idx="2">
                  <c:v>8.415773103845014</c:v>
                </c:pt>
                <c:pt idx="3">
                  <c:v>7.771994297307103</c:v>
                </c:pt>
              </c:numCache>
            </c:numRef>
          </c:val>
        </c:ser>
        <c:ser>
          <c:idx val="1"/>
          <c:order val="1"/>
          <c:tx>
            <c:strRef>
              <c:f>'Input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Mode'!$B$5:$E$5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Mode'!$B$7:$E$7</c:f>
              <c:numCache>
                <c:formatCode>0.000</c:formatCode>
                <c:ptCount val="4"/>
                <c:pt idx="0">
                  <c:v>8.427525471706095</c:v>
                </c:pt>
                <c:pt idx="1">
                  <c:v>8.306660114517953</c:v>
                </c:pt>
                <c:pt idx="2">
                  <c:v>8.392652760875355</c:v>
                </c:pt>
                <c:pt idx="3">
                  <c:v>7.657079129497323</c:v>
                </c:pt>
              </c:numCache>
            </c:numRef>
          </c:val>
        </c:ser>
        <c:ser>
          <c:idx val="2"/>
          <c:order val="2"/>
          <c:tx>
            <c:strRef>
              <c:f>'Input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Mode'!$B$5:$E$5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Mode'!$B$8:$E$8</c:f>
              <c:numCache>
                <c:formatCode>0.000</c:formatCode>
                <c:ptCount val="4"/>
                <c:pt idx="0">
                  <c:v>8.505227497664622</c:v>
                </c:pt>
                <c:pt idx="1">
                  <c:v>8.354628698182857</c:v>
                </c:pt>
                <c:pt idx="2">
                  <c:v>8.45042949458783</c:v>
                </c:pt>
                <c:pt idx="3">
                  <c:v>7.709770081670558</c:v>
                </c:pt>
              </c:numCache>
            </c:numRef>
          </c:val>
        </c:ser>
        <c:ser>
          <c:idx val="3"/>
          <c:order val="3"/>
          <c:tx>
            <c:strRef>
              <c:f>'Input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Mode'!$B$5:$E$5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Mode'!$B$9:$E$9</c:f>
              <c:numCache>
                <c:formatCode>0.000</c:formatCode>
                <c:ptCount val="4"/>
                <c:pt idx="0">
                  <c:v>8.45551055909437</c:v>
                </c:pt>
                <c:pt idx="1">
                  <c:v>8.3327206481573</c:v>
                </c:pt>
                <c:pt idx="2">
                  <c:v>8.425886055385817</c:v>
                </c:pt>
                <c:pt idx="3">
                  <c:v>7.74800798849436</c:v>
                </c:pt>
              </c:numCache>
            </c:numRef>
          </c:val>
        </c:ser>
        <c:ser>
          <c:idx val="4"/>
          <c:order val="4"/>
          <c:tx>
            <c:strRef>
              <c:f>'Input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Mode'!$B$5:$E$5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Mode'!$B$10:$E$10</c:f>
              <c:numCache>
                <c:formatCode>0.000</c:formatCode>
                <c:ptCount val="4"/>
                <c:pt idx="0">
                  <c:v>8.447564748876418</c:v>
                </c:pt>
                <c:pt idx="1">
                  <c:v>8.322933495361388</c:v>
                </c:pt>
                <c:pt idx="2">
                  <c:v>8.33374230793156</c:v>
                </c:pt>
                <c:pt idx="3">
                  <c:v>7.65427875984703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086584"/>
        <c:axId val="2085092280"/>
      </c:barChart>
      <c:catAx>
        <c:axId val="2085086584"/>
        <c:scaling>
          <c:orientation val="minMax"/>
        </c:scaling>
        <c:delete val="0"/>
        <c:axPos val="b"/>
        <c:title>
          <c:tx>
            <c:strRef>
              <c:f>'Input Size per Mode'!$B$4</c:f>
              <c:strCache>
                <c:ptCount val="1"/>
                <c:pt idx="0">
                  <c:v>Input Size (MB)</c:v>
                </c:pt>
              </c:strCache>
            </c:strRef>
          </c:tx>
          <c:layout>
            <c:manualLayout>
              <c:xMode val="edge"/>
              <c:yMode val="edge"/>
              <c:x val="0.452076350800977"/>
              <c:y val="0.939189189189189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85092280"/>
        <c:crossesAt val="0.0"/>
        <c:auto val="1"/>
        <c:lblAlgn val="ctr"/>
        <c:lblOffset val="100"/>
        <c:noMultiLvlLbl val="0"/>
      </c:catAx>
      <c:valAx>
        <c:axId val="2085092280"/>
        <c:scaling>
          <c:orientation val="minMax"/>
        </c:scaling>
        <c:delete val="0"/>
        <c:axPos val="l"/>
        <c:majorGridlines/>
        <c:title>
          <c:tx>
            <c:strRef>
              <c:f>'Input Size per Mode'!$A$4</c:f>
              <c:strCache>
                <c:ptCount val="1"/>
                <c:pt idx="0">
                  <c:v>Average of Throughput (MB/s)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crossAx val="2085086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Mode'!$H$1:$J$1</c:f>
          <c:strCache>
            <c:ptCount val="1"/>
            <c:pt idx="0">
              <c:v>AES Decryption Performance Using  (All)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Mode'!$I$5:$L$5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Mode'!$I$6:$L$6</c:f>
              <c:numCache>
                <c:formatCode>0.000</c:formatCode>
                <c:ptCount val="4"/>
                <c:pt idx="0">
                  <c:v>15.15845959560203</c:v>
                </c:pt>
                <c:pt idx="1">
                  <c:v>13.86432650520482</c:v>
                </c:pt>
                <c:pt idx="2">
                  <c:v>13.9554555831834</c:v>
                </c:pt>
                <c:pt idx="3">
                  <c:v>12.84770367992492</c:v>
                </c:pt>
              </c:numCache>
            </c:numRef>
          </c:val>
        </c:ser>
        <c:ser>
          <c:idx val="1"/>
          <c:order val="1"/>
          <c:tx>
            <c:strRef>
              <c:f>'Input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Mode'!$I$5:$L$5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Mode'!$I$7:$L$7</c:f>
              <c:numCache>
                <c:formatCode>0.000</c:formatCode>
                <c:ptCount val="4"/>
                <c:pt idx="0">
                  <c:v>6.156768438980695</c:v>
                </c:pt>
                <c:pt idx="1">
                  <c:v>5.813415690262107</c:v>
                </c:pt>
                <c:pt idx="2">
                  <c:v>5.714578029962419</c:v>
                </c:pt>
                <c:pt idx="3">
                  <c:v>6.100610523838228</c:v>
                </c:pt>
              </c:numCache>
            </c:numRef>
          </c:val>
        </c:ser>
        <c:ser>
          <c:idx val="2"/>
          <c:order val="2"/>
          <c:tx>
            <c:strRef>
              <c:f>'Input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Mode'!$I$5:$L$5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Mode'!$I$8:$L$8</c:f>
              <c:numCache>
                <c:formatCode>0.000</c:formatCode>
                <c:ptCount val="4"/>
                <c:pt idx="0">
                  <c:v>6.913158935851004</c:v>
                </c:pt>
                <c:pt idx="1">
                  <c:v>6.467276336637194</c:v>
                </c:pt>
                <c:pt idx="2">
                  <c:v>6.464978280838178</c:v>
                </c:pt>
                <c:pt idx="3">
                  <c:v>6.340327157638112</c:v>
                </c:pt>
              </c:numCache>
            </c:numRef>
          </c:val>
        </c:ser>
        <c:ser>
          <c:idx val="3"/>
          <c:order val="3"/>
          <c:tx>
            <c:strRef>
              <c:f>'Input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Mode'!$I$5:$L$5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Mode'!$I$9:$L$9</c:f>
              <c:numCache>
                <c:formatCode>0.000</c:formatCode>
                <c:ptCount val="4"/>
                <c:pt idx="0">
                  <c:v>15.09216357643574</c:v>
                </c:pt>
                <c:pt idx="1">
                  <c:v>14.0415722217546</c:v>
                </c:pt>
                <c:pt idx="2">
                  <c:v>13.69833353076994</c:v>
                </c:pt>
                <c:pt idx="3">
                  <c:v>12.87685845855604</c:v>
                </c:pt>
              </c:numCache>
            </c:numRef>
          </c:val>
        </c:ser>
        <c:ser>
          <c:idx val="4"/>
          <c:order val="4"/>
          <c:tx>
            <c:strRef>
              <c:f>'Input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Mode'!$I$5:$L$5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Mode'!$I$10:$L$10</c:f>
              <c:numCache>
                <c:formatCode>0.000</c:formatCode>
                <c:ptCount val="4"/>
                <c:pt idx="0">
                  <c:v>7.019408253323606</c:v>
                </c:pt>
                <c:pt idx="1">
                  <c:v>6.561601533374454</c:v>
                </c:pt>
                <c:pt idx="2">
                  <c:v>6.527978131457576</c:v>
                </c:pt>
                <c:pt idx="3">
                  <c:v>6.359315104800984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149400"/>
        <c:axId val="2085155096"/>
      </c:barChart>
      <c:catAx>
        <c:axId val="2085149400"/>
        <c:scaling>
          <c:orientation val="minMax"/>
        </c:scaling>
        <c:delete val="0"/>
        <c:axPos val="b"/>
        <c:title>
          <c:tx>
            <c:strRef>
              <c:f>'Input Size per Mode'!$I$4</c:f>
              <c:strCache>
                <c:ptCount val="1"/>
                <c:pt idx="0">
                  <c:v>Input Size (MB)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85155096"/>
        <c:crossesAt val="0.0"/>
        <c:auto val="1"/>
        <c:lblAlgn val="ctr"/>
        <c:lblOffset val="100"/>
        <c:noMultiLvlLbl val="0"/>
      </c:catAx>
      <c:valAx>
        <c:axId val="2085155096"/>
        <c:scaling>
          <c:orientation val="minMax"/>
        </c:scaling>
        <c:delete val="0"/>
        <c:axPos val="l"/>
        <c:majorGridlines/>
        <c:title>
          <c:tx>
            <c:strRef>
              <c:f>'Input Size per Mode'!$H$4</c:f>
              <c:strCache>
                <c:ptCount val="1"/>
                <c:pt idx="0">
                  <c:v>Average of Throughput (MB/s)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crossAx val="20851494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Mode'!$H$1:$J$1</c:f>
          <c:strCache>
            <c:ptCount val="1"/>
            <c:pt idx="0">
              <c:v>AES Decryption Performance Using  256000 KB Input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70444631498194"/>
          <c:y val="0.101851851851852"/>
          <c:w val="0.835723209938124"/>
          <c:h val="0.782530985710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'Key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Mode'!$I$6:$K$6</c:f>
              <c:numCache>
                <c:formatCode>0.000</c:formatCode>
                <c:ptCount val="3"/>
                <c:pt idx="0">
                  <c:v>12.45252474939294</c:v>
                </c:pt>
                <c:pt idx="1">
                  <c:v>12.09216001971023</c:v>
                </c:pt>
                <c:pt idx="2">
                  <c:v>13.9984262706716</c:v>
                </c:pt>
              </c:numCache>
            </c:numRef>
          </c:val>
        </c:ser>
        <c:ser>
          <c:idx val="1"/>
          <c:order val="1"/>
          <c:tx>
            <c:strRef>
              <c:f>'Key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Mode'!$I$7:$K$7</c:f>
              <c:numCache>
                <c:formatCode>0.000</c:formatCode>
                <c:ptCount val="3"/>
                <c:pt idx="0">
                  <c:v>6.223795178401566</c:v>
                </c:pt>
                <c:pt idx="1">
                  <c:v>5.630120316770798</c:v>
                </c:pt>
                <c:pt idx="2">
                  <c:v>6.447916076342318</c:v>
                </c:pt>
              </c:numCache>
            </c:numRef>
          </c:val>
        </c:ser>
        <c:ser>
          <c:idx val="2"/>
          <c:order val="2"/>
          <c:tx>
            <c:strRef>
              <c:f>'Key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Mode'!$I$8:$K$8</c:f>
              <c:numCache>
                <c:formatCode>0.000</c:formatCode>
                <c:ptCount val="3"/>
                <c:pt idx="0">
                  <c:v>6.378233322053494</c:v>
                </c:pt>
                <c:pt idx="1">
                  <c:v>5.906007096713496</c:v>
                </c:pt>
                <c:pt idx="2">
                  <c:v>6.736741054147345</c:v>
                </c:pt>
              </c:numCache>
            </c:numRef>
          </c:val>
        </c:ser>
        <c:ser>
          <c:idx val="3"/>
          <c:order val="3"/>
          <c:tx>
            <c:strRef>
              <c:f>'Key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Mode'!$I$9:$K$9</c:f>
              <c:numCache>
                <c:formatCode>0.000</c:formatCode>
                <c:ptCount val="3"/>
                <c:pt idx="0">
                  <c:v>12.42011344221116</c:v>
                </c:pt>
                <c:pt idx="1">
                  <c:v>12.02483861938506</c:v>
                </c:pt>
                <c:pt idx="2">
                  <c:v>14.18562331407191</c:v>
                </c:pt>
              </c:numCache>
            </c:numRef>
          </c:val>
        </c:ser>
        <c:ser>
          <c:idx val="4"/>
          <c:order val="4"/>
          <c:tx>
            <c:strRef>
              <c:f>'Key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Mode'!$I$10:$K$10</c:f>
              <c:numCache>
                <c:formatCode>0.000</c:formatCode>
                <c:ptCount val="3"/>
                <c:pt idx="0">
                  <c:v>6.36939220423217</c:v>
                </c:pt>
                <c:pt idx="1">
                  <c:v>6.056828572634528</c:v>
                </c:pt>
                <c:pt idx="2">
                  <c:v>6.651724537536254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227320"/>
        <c:axId val="2085232616"/>
      </c:barChart>
      <c:catAx>
        <c:axId val="2085227320"/>
        <c:scaling>
          <c:orientation val="minMax"/>
        </c:scaling>
        <c:delete val="0"/>
        <c:axPos val="b"/>
        <c:title>
          <c:tx>
            <c:strRef>
              <c:f>'Key Size per Mode'!$I$4</c:f>
              <c:strCache>
                <c:ptCount val="1"/>
                <c:pt idx="0">
                  <c:v>Key Size (B) 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5232616"/>
        <c:crossesAt val="0.0"/>
        <c:auto val="1"/>
        <c:lblAlgn val="ctr"/>
        <c:lblOffset val="100"/>
        <c:noMultiLvlLbl val="0"/>
      </c:catAx>
      <c:valAx>
        <c:axId val="2085232616"/>
        <c:scaling>
          <c:orientation val="minMax"/>
        </c:scaling>
        <c:delete val="0"/>
        <c:axPos val="l"/>
        <c:majorGridlines/>
        <c:title>
          <c:tx>
            <c:strRef>
              <c:f>'Key Size per Mode'!$H$4</c:f>
              <c:strCache>
                <c:ptCount val="1"/>
                <c:pt idx="0">
                  <c:v>Average of Throughput (MB/s)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crossAx val="20852273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Mode'!$A$1:$C$1</c:f>
          <c:strCache>
            <c:ptCount val="1"/>
            <c:pt idx="0">
              <c:v>AES Encryption Performance Using  256000 KB Input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Mode'!$B$6:$D$6</c:f>
              <c:numCache>
                <c:formatCode>0.000</c:formatCode>
                <c:ptCount val="3"/>
                <c:pt idx="0">
                  <c:v>8.286670369556695</c:v>
                </c:pt>
                <c:pt idx="1">
                  <c:v>7.647252324316626</c:v>
                </c:pt>
                <c:pt idx="2">
                  <c:v>7.382060198047988</c:v>
                </c:pt>
              </c:numCache>
            </c:numRef>
          </c:val>
        </c:ser>
        <c:ser>
          <c:idx val="1"/>
          <c:order val="1"/>
          <c:tx>
            <c:strRef>
              <c:f>'Key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Mode'!$B$7:$D$7</c:f>
              <c:numCache>
                <c:formatCode>0.000</c:formatCode>
                <c:ptCount val="3"/>
                <c:pt idx="0">
                  <c:v>8.278431326515465</c:v>
                </c:pt>
                <c:pt idx="1">
                  <c:v>7.47385159161216</c:v>
                </c:pt>
                <c:pt idx="2">
                  <c:v>7.218954470364345</c:v>
                </c:pt>
              </c:numCache>
            </c:numRef>
          </c:val>
        </c:ser>
        <c:ser>
          <c:idx val="2"/>
          <c:order val="2"/>
          <c:tx>
            <c:strRef>
              <c:f>'Key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Mode'!$B$8:$D$8</c:f>
              <c:numCache>
                <c:formatCode>0.000</c:formatCode>
                <c:ptCount val="3"/>
                <c:pt idx="0">
                  <c:v>8.311919588152175</c:v>
                </c:pt>
                <c:pt idx="1">
                  <c:v>7.454047616281469</c:v>
                </c:pt>
                <c:pt idx="2">
                  <c:v>7.363343040578033</c:v>
                </c:pt>
              </c:numCache>
            </c:numRef>
          </c:val>
        </c:ser>
        <c:ser>
          <c:idx val="3"/>
          <c:order val="3"/>
          <c:tx>
            <c:strRef>
              <c:f>'Key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Mode'!$B$9:$D$9</c:f>
              <c:numCache>
                <c:formatCode>0.000</c:formatCode>
                <c:ptCount val="3"/>
                <c:pt idx="0">
                  <c:v>8.318358663060398</c:v>
                </c:pt>
                <c:pt idx="1">
                  <c:v>7.487358574837448</c:v>
                </c:pt>
                <c:pt idx="2">
                  <c:v>7.438306727585237</c:v>
                </c:pt>
              </c:numCache>
            </c:numRef>
          </c:val>
        </c:ser>
        <c:ser>
          <c:idx val="4"/>
          <c:order val="4"/>
          <c:tx>
            <c:strRef>
              <c:f>'Key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Mode'!$B$10:$D$10</c:f>
              <c:numCache>
                <c:formatCode>0.000</c:formatCode>
                <c:ptCount val="3"/>
                <c:pt idx="0">
                  <c:v>8.26887380135245</c:v>
                </c:pt>
                <c:pt idx="1">
                  <c:v>7.48780840008671</c:v>
                </c:pt>
                <c:pt idx="2">
                  <c:v>7.206154078101931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290104"/>
        <c:axId val="2085295400"/>
      </c:barChart>
      <c:catAx>
        <c:axId val="2085290104"/>
        <c:scaling>
          <c:orientation val="minMax"/>
        </c:scaling>
        <c:delete val="0"/>
        <c:axPos val="b"/>
        <c:title>
          <c:tx>
            <c:strRef>
              <c:f>'Key Size per Mode'!$B$4</c:f>
              <c:strCache>
                <c:ptCount val="1"/>
                <c:pt idx="0">
                  <c:v>Key Size (B)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5295400"/>
        <c:crossesAt val="0.0"/>
        <c:auto val="1"/>
        <c:lblAlgn val="ctr"/>
        <c:lblOffset val="100"/>
        <c:noMultiLvlLbl val="0"/>
      </c:catAx>
      <c:valAx>
        <c:axId val="2085295400"/>
        <c:scaling>
          <c:orientation val="minMax"/>
        </c:scaling>
        <c:delete val="0"/>
        <c:axPos val="l"/>
        <c:majorGridlines/>
        <c:title>
          <c:tx>
            <c:strRef>
              <c:f>'Key Size per Mode'!$A$4</c:f>
              <c:strCache>
                <c:ptCount val="1"/>
                <c:pt idx="0">
                  <c:v>Average of Throughput (MB/s)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crossAx val="20852901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Size'!$L$1:$N$1</c:f>
          <c:strCache>
            <c:ptCount val="1"/>
            <c:pt idx="0">
              <c:v>AES Decryption Performance Using  (All) Mode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983323117544438"/>
          <c:y val="0.108372093023256"/>
          <c:w val="0.793020769484653"/>
          <c:h val="0.7815195019227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'Key Size per Input Size'!$M$5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Input Size'!$L$6:$L$9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256</c:v>
                </c:pt>
                <c:pt idx="3">
                  <c:v>5</c:v>
                </c:pt>
              </c:strCache>
            </c:strRef>
          </c:cat>
          <c:val>
            <c:numRef>
              <c:f>'Key Size per Input Size'!$M$6:$M$9</c:f>
              <c:numCache>
                <c:formatCode>0.000</c:formatCode>
                <c:ptCount val="4"/>
                <c:pt idx="0">
                  <c:v>10.16567261421247</c:v>
                </c:pt>
                <c:pt idx="1">
                  <c:v>9.35873024739781</c:v>
                </c:pt>
                <c:pt idx="2">
                  <c:v>8.768811779258266</c:v>
                </c:pt>
                <c:pt idx="3">
                  <c:v>9.080661145130191</c:v>
                </c:pt>
              </c:numCache>
            </c:numRef>
          </c:val>
        </c:ser>
        <c:ser>
          <c:idx val="1"/>
          <c:order val="1"/>
          <c:tx>
            <c:strRef>
              <c:f>'Key Size per Input Size'!$N$5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Input Size'!$L$6:$L$9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256</c:v>
                </c:pt>
                <c:pt idx="3">
                  <c:v>5</c:v>
                </c:pt>
              </c:strCache>
            </c:strRef>
          </c:cat>
          <c:val>
            <c:numRef>
              <c:f>'Key Size per Input Size'!$N$6:$N$9</c:f>
              <c:numCache>
                <c:formatCode>0.000</c:formatCode>
                <c:ptCount val="4"/>
                <c:pt idx="0">
                  <c:v>9.996289432211891</c:v>
                </c:pt>
                <c:pt idx="1">
                  <c:v>9.20557756781454</c:v>
                </c:pt>
                <c:pt idx="2">
                  <c:v>8.341990925042822</c:v>
                </c:pt>
                <c:pt idx="3">
                  <c:v>9.51373244138863</c:v>
                </c:pt>
              </c:numCache>
            </c:numRef>
          </c:val>
        </c:ser>
        <c:ser>
          <c:idx val="2"/>
          <c:order val="2"/>
          <c:tx>
            <c:strRef>
              <c:f>'Key Size per Input Size'!$O$5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Input Size'!$L$6:$L$9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256</c:v>
                </c:pt>
                <c:pt idx="3">
                  <c:v>5</c:v>
                </c:pt>
              </c:strCache>
            </c:strRef>
          </c:cat>
          <c:val>
            <c:numRef>
              <c:f>'Key Size per Input Size'!$O$6:$O$9</c:f>
              <c:numCache>
                <c:formatCode>0.000</c:formatCode>
                <c:ptCount val="4"/>
                <c:pt idx="0">
                  <c:v>10.04201323369149</c:v>
                </c:pt>
                <c:pt idx="1">
                  <c:v>9.25248631851455</c:v>
                </c:pt>
                <c:pt idx="2">
                  <c:v>9.604086250553887</c:v>
                </c:pt>
                <c:pt idx="3">
                  <c:v>9.454521785821083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353608"/>
        <c:axId val="2085358984"/>
      </c:barChart>
      <c:catAx>
        <c:axId val="2085353608"/>
        <c:scaling>
          <c:orientation val="minMax"/>
        </c:scaling>
        <c:delete val="0"/>
        <c:axPos val="b"/>
        <c:title>
          <c:tx>
            <c:strRef>
              <c:f>'Key Size per Input Size'!$L$5</c:f>
              <c:strCache>
                <c:ptCount val="1"/>
                <c:pt idx="0">
                  <c:v>Input Size (MB)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5358984"/>
        <c:crossesAt val="0.0"/>
        <c:auto val="1"/>
        <c:lblAlgn val="ctr"/>
        <c:lblOffset val="100"/>
        <c:noMultiLvlLbl val="0"/>
      </c:catAx>
      <c:valAx>
        <c:axId val="2085358984"/>
        <c:scaling>
          <c:orientation val="minMax"/>
        </c:scaling>
        <c:delete val="0"/>
        <c:axPos val="l"/>
        <c:majorGridlines/>
        <c:title>
          <c:tx>
            <c:strRef>
              <c:f>'Key Size per Input Size'!$L$4</c:f>
              <c:strCache>
                <c:ptCount val="1"/>
                <c:pt idx="0">
                  <c:v>Average of Throughput (MB/s)</c:v>
                </c:pt>
              </c:strCache>
            </c:strRef>
          </c:tx>
          <c:layout>
            <c:manualLayout>
              <c:xMode val="edge"/>
              <c:yMode val="edge"/>
              <c:x val="0.0232428894936945"/>
              <c:y val="0.343317890496246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0.000" sourceLinked="1"/>
        <c:majorTickMark val="out"/>
        <c:minorTickMark val="cross"/>
        <c:tickLblPos val="nextTo"/>
        <c:crossAx val="2085353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Size'!$A$1:$C$1</c:f>
          <c:strCache>
            <c:ptCount val="1"/>
            <c:pt idx="0">
              <c:v>AES Encryption Performance Using  (All) Mode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740504916724119"/>
          <c:y val="0.102764976958525"/>
          <c:w val="0.858483344823832"/>
          <c:h val="0.7835331470662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'Key Size per Input Size'!$B$5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Input Size'!$A$6:$A$9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256</c:v>
                </c:pt>
                <c:pt idx="3">
                  <c:v>5</c:v>
                </c:pt>
              </c:strCache>
            </c:strRef>
          </c:cat>
          <c:val>
            <c:numRef>
              <c:f>'Key Size per Input Size'!$B$6:$B$9</c:f>
              <c:numCache>
                <c:formatCode>0.000</c:formatCode>
                <c:ptCount val="4"/>
                <c:pt idx="0">
                  <c:v>8.517340287699614</c:v>
                </c:pt>
                <c:pt idx="1">
                  <c:v>8.369403649326084</c:v>
                </c:pt>
                <c:pt idx="2">
                  <c:v>8.292850749727435</c:v>
                </c:pt>
                <c:pt idx="3">
                  <c:v>8.238686442095616</c:v>
                </c:pt>
              </c:numCache>
            </c:numRef>
          </c:val>
        </c:ser>
        <c:ser>
          <c:idx val="2"/>
          <c:order val="1"/>
          <c:tx>
            <c:strRef>
              <c:f>'Key Size per Input Size'!$C$5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Input Size'!$A$6:$A$9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256</c:v>
                </c:pt>
                <c:pt idx="3">
                  <c:v>5</c:v>
                </c:pt>
              </c:strCache>
            </c:strRef>
          </c:cat>
          <c:val>
            <c:numRef>
              <c:f>'Key Size per Input Size'!$C$6:$C$9</c:f>
              <c:numCache>
                <c:formatCode>0.000</c:formatCode>
                <c:ptCount val="4"/>
                <c:pt idx="0">
                  <c:v>8.37104413828248</c:v>
                </c:pt>
                <c:pt idx="1">
                  <c:v>8.403401583083571</c:v>
                </c:pt>
                <c:pt idx="2">
                  <c:v>7.510063701426882</c:v>
                </c:pt>
                <c:pt idx="3">
                  <c:v>8.454563797118727</c:v>
                </c:pt>
              </c:numCache>
            </c:numRef>
          </c:val>
        </c:ser>
        <c:ser>
          <c:idx val="3"/>
          <c:order val="2"/>
          <c:tx>
            <c:strRef>
              <c:f>'Key Size per Input Size'!$D$5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Input Size'!$A$6:$A$9</c:f>
              <c:strCache>
                <c:ptCount val="4"/>
                <c:pt idx="0">
                  <c:v>1</c:v>
                </c:pt>
                <c:pt idx="1">
                  <c:v>10</c:v>
                </c:pt>
                <c:pt idx="2">
                  <c:v>256</c:v>
                </c:pt>
                <c:pt idx="3">
                  <c:v>5</c:v>
                </c:pt>
              </c:strCache>
            </c:strRef>
          </c:cat>
          <c:val>
            <c:numRef>
              <c:f>'Key Size per Input Size'!$D$6:$D$9</c:f>
              <c:numCache>
                <c:formatCode>0.000</c:formatCode>
                <c:ptCount val="4"/>
                <c:pt idx="0">
                  <c:v>8.489313217229598</c:v>
                </c:pt>
                <c:pt idx="1">
                  <c:v>8.438285001165691</c:v>
                </c:pt>
                <c:pt idx="2">
                  <c:v>7.321763702935505</c:v>
                </c:pt>
                <c:pt idx="3">
                  <c:v>8.292281169839968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403960"/>
        <c:axId val="2085409336"/>
      </c:barChart>
      <c:catAx>
        <c:axId val="2085403960"/>
        <c:scaling>
          <c:orientation val="minMax"/>
        </c:scaling>
        <c:delete val="0"/>
        <c:axPos val="b"/>
        <c:title>
          <c:tx>
            <c:strRef>
              <c:f>'Key Size per Input Size'!$A$5</c:f>
              <c:strCache>
                <c:ptCount val="1"/>
                <c:pt idx="0">
                  <c:v>Input Size (MB)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5409336"/>
        <c:crossesAt val="0.0"/>
        <c:auto val="1"/>
        <c:lblAlgn val="ctr"/>
        <c:lblOffset val="100"/>
        <c:noMultiLvlLbl val="0"/>
      </c:catAx>
      <c:valAx>
        <c:axId val="2085409336"/>
        <c:scaling>
          <c:orientation val="minMax"/>
        </c:scaling>
        <c:delete val="0"/>
        <c:axPos val="l"/>
        <c:majorGridlines/>
        <c:title>
          <c:tx>
            <c:strRef>
              <c:f>'Key Size per Input Size'!$A$4</c:f>
              <c:strCache>
                <c:ptCount val="1"/>
                <c:pt idx="0">
                  <c:v>Average of Throughput (MB/s)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0.000" sourceLinked="1"/>
        <c:majorTickMark val="out"/>
        <c:minorTickMark val="cross"/>
        <c:tickLblPos val="nextTo"/>
        <c:crossAx val="2085403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'1M_File'!$I$105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'1M_File'!$I$106</c:f>
              <c:numCache>
                <c:formatCode>General</c:formatCode>
                <c:ptCount val="1"/>
                <c:pt idx="0">
                  <c:v>119.3309</c:v>
                </c:pt>
              </c:numCache>
            </c:numRef>
          </c:val>
        </c:ser>
        <c:ser>
          <c:idx val="1"/>
          <c:order val="1"/>
          <c:tx>
            <c:strRef>
              <c:f>'1M_File'!$J$105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'1M_File'!$J$106</c:f>
              <c:numCache>
                <c:formatCode>General</c:formatCode>
                <c:ptCount val="1"/>
                <c:pt idx="0">
                  <c:v>119.41117</c:v>
                </c:pt>
              </c:numCache>
            </c:numRef>
          </c:val>
        </c:ser>
        <c:ser>
          <c:idx val="2"/>
          <c:order val="2"/>
          <c:tx>
            <c:strRef>
              <c:f>'1M_File'!$K$105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'1M_File'!$K$106</c:f>
              <c:numCache>
                <c:formatCode>General</c:formatCode>
                <c:ptCount val="1"/>
                <c:pt idx="0">
                  <c:v>119.31408</c:v>
                </c:pt>
              </c:numCache>
            </c:numRef>
          </c:val>
        </c:ser>
        <c:ser>
          <c:idx val="3"/>
          <c:order val="3"/>
          <c:tx>
            <c:strRef>
              <c:f>'1M_File'!$L$105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'1M_File'!$L$106</c:f>
              <c:numCache>
                <c:formatCode>General</c:formatCode>
                <c:ptCount val="1"/>
                <c:pt idx="0">
                  <c:v>120.24837</c:v>
                </c:pt>
              </c:numCache>
            </c:numRef>
          </c:val>
        </c:ser>
        <c:ser>
          <c:idx val="4"/>
          <c:order val="4"/>
          <c:tx>
            <c:strRef>
              <c:f>'1M_File'!$M$105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'1M_File'!$M$106</c:f>
              <c:numCache>
                <c:formatCode>General</c:formatCode>
                <c:ptCount val="1"/>
                <c:pt idx="0">
                  <c:v>118.99982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553000"/>
        <c:axId val="2085556056"/>
      </c:barChart>
      <c:catAx>
        <c:axId val="2085553000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556056"/>
        <c:crossesAt val="0.0"/>
        <c:auto val="1"/>
        <c:lblAlgn val="ctr"/>
        <c:lblOffset val="100"/>
        <c:noMultiLvlLbl val="0"/>
      </c:catAx>
      <c:valAx>
        <c:axId val="2085556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553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'1M_File'!$P$105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'1M_File'!$P$106</c:f>
              <c:numCache>
                <c:formatCode>General</c:formatCode>
                <c:ptCount val="1"/>
                <c:pt idx="0">
                  <c:v>117.81823</c:v>
                </c:pt>
              </c:numCache>
            </c:numRef>
          </c:val>
        </c:ser>
        <c:ser>
          <c:idx val="1"/>
          <c:order val="1"/>
          <c:tx>
            <c:strRef>
              <c:f>'1M_File'!$Q$105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'1M_File'!$Q$106</c:f>
              <c:numCache>
                <c:formatCode>General</c:formatCode>
                <c:ptCount val="1"/>
                <c:pt idx="0">
                  <c:v>117.9299999999999</c:v>
                </c:pt>
              </c:numCache>
            </c:numRef>
          </c:val>
        </c:ser>
        <c:ser>
          <c:idx val="2"/>
          <c:order val="2"/>
          <c:tx>
            <c:strRef>
              <c:f>'1M_File'!$R$105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'1M_File'!$R$106</c:f>
              <c:numCache>
                <c:formatCode>General</c:formatCode>
                <c:ptCount val="1"/>
                <c:pt idx="0">
                  <c:v>118.7003</c:v>
                </c:pt>
              </c:numCache>
            </c:numRef>
          </c:val>
        </c:ser>
        <c:ser>
          <c:idx val="3"/>
          <c:order val="3"/>
          <c:tx>
            <c:strRef>
              <c:f>'1M_File'!$S$105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'1M_File'!$S$106</c:f>
              <c:numCache>
                <c:formatCode>General</c:formatCode>
                <c:ptCount val="1"/>
                <c:pt idx="0">
                  <c:v>117.90259</c:v>
                </c:pt>
              </c:numCache>
            </c:numRef>
          </c:val>
        </c:ser>
        <c:ser>
          <c:idx val="4"/>
          <c:order val="4"/>
          <c:tx>
            <c:strRef>
              <c:f>'1M_File'!$T$105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'1M_File'!$T$106</c:f>
              <c:numCache>
                <c:formatCode>General</c:formatCode>
                <c:ptCount val="1"/>
                <c:pt idx="0">
                  <c:v>116.64321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2533944"/>
        <c:axId val="2082532520"/>
      </c:barChart>
      <c:catAx>
        <c:axId val="208253394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2532520"/>
        <c:crossesAt val="0.0"/>
        <c:auto val="1"/>
        <c:lblAlgn val="ctr"/>
        <c:lblOffset val="100"/>
        <c:noMultiLvlLbl val="0"/>
      </c:catAx>
      <c:valAx>
        <c:axId val="2082532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2533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'1M_File'!$B$105</c:f>
              <c:strCache>
                <c:ptCount val="1"/>
                <c:pt idx="0">
                  <c:v>ECB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'1M_File'!$B$106</c:f>
              <c:numCache>
                <c:formatCode>General</c:formatCode>
                <c:ptCount val="1"/>
                <c:pt idx="0">
                  <c:v>117.66337</c:v>
                </c:pt>
              </c:numCache>
            </c:numRef>
          </c:val>
        </c:ser>
        <c:ser>
          <c:idx val="1"/>
          <c:order val="1"/>
          <c:tx>
            <c:strRef>
              <c:f>'1M_File'!$C$105</c:f>
              <c:strCache>
                <c:ptCount val="1"/>
                <c:pt idx="0">
                  <c:v>CBC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'1M_File'!$C$106</c:f>
              <c:numCache>
                <c:formatCode>General</c:formatCode>
                <c:ptCount val="1"/>
                <c:pt idx="0">
                  <c:v>117.27494</c:v>
                </c:pt>
              </c:numCache>
            </c:numRef>
          </c:val>
        </c:ser>
        <c:ser>
          <c:idx val="2"/>
          <c:order val="2"/>
          <c:tx>
            <c:strRef>
              <c:f>'1M_File'!$D$105</c:f>
              <c:strCache>
                <c:ptCount val="1"/>
                <c:pt idx="0">
                  <c:v>OFB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'1M_File'!$D$106</c:f>
              <c:numCache>
                <c:formatCode>General</c:formatCode>
                <c:ptCount val="1"/>
                <c:pt idx="0">
                  <c:v>117.13888</c:v>
                </c:pt>
              </c:numCache>
            </c:numRef>
          </c:val>
        </c:ser>
        <c:ser>
          <c:idx val="3"/>
          <c:order val="3"/>
          <c:tx>
            <c:strRef>
              <c:f>'1M_File'!$E$105</c:f>
              <c:strCache>
                <c:ptCount val="1"/>
                <c:pt idx="0">
                  <c:v>CFB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'1M_File'!$E$106</c:f>
              <c:numCache>
                <c:formatCode>General</c:formatCode>
                <c:ptCount val="1"/>
                <c:pt idx="0">
                  <c:v>117.85674</c:v>
                </c:pt>
              </c:numCache>
            </c:numRef>
          </c:val>
        </c:ser>
        <c:ser>
          <c:idx val="4"/>
          <c:order val="4"/>
          <c:tx>
            <c:strRef>
              <c:f>'1M_File'!$F$105</c:f>
              <c:strCache>
                <c:ptCount val="1"/>
                <c:pt idx="0">
                  <c:v>CTR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'1M_File'!$F$106</c:f>
              <c:numCache>
                <c:formatCode>General</c:formatCode>
                <c:ptCount val="1"/>
                <c:pt idx="0">
                  <c:v>117.10759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2519512"/>
        <c:axId val="2082518088"/>
      </c:barChart>
      <c:catAx>
        <c:axId val="2082519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2518088"/>
        <c:crossesAt val="0.0"/>
        <c:auto val="1"/>
        <c:lblAlgn val="ctr"/>
        <c:lblOffset val="100"/>
        <c:noMultiLvlLbl val="0"/>
      </c:catAx>
      <c:valAx>
        <c:axId val="2082518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2519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'1M_File'!$W$105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'1M_File'!$W$106</c:f>
              <c:numCache>
                <c:formatCode>General</c:formatCode>
                <c:ptCount val="1"/>
                <c:pt idx="0">
                  <c:v>66.49903</c:v>
                </c:pt>
              </c:numCache>
            </c:numRef>
          </c:val>
        </c:ser>
        <c:ser>
          <c:idx val="1"/>
          <c:order val="1"/>
          <c:tx>
            <c:strRef>
              <c:f>'1M_File'!$X$105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'1M_File'!$X$106</c:f>
              <c:numCache>
                <c:formatCode>General</c:formatCode>
                <c:ptCount val="1"/>
                <c:pt idx="0">
                  <c:v>64.94904</c:v>
                </c:pt>
              </c:numCache>
            </c:numRef>
          </c:val>
        </c:ser>
        <c:ser>
          <c:idx val="2"/>
          <c:order val="2"/>
          <c:tx>
            <c:strRef>
              <c:f>'1M_File'!$Y$105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'1M_File'!$Y$106</c:f>
              <c:numCache>
                <c:formatCode>General</c:formatCode>
                <c:ptCount val="1"/>
                <c:pt idx="0">
                  <c:v>142.99573</c:v>
                </c:pt>
              </c:numCache>
            </c:numRef>
          </c:val>
        </c:ser>
        <c:ser>
          <c:idx val="3"/>
          <c:order val="3"/>
          <c:tx>
            <c:strRef>
              <c:f>'1M_File'!$Z$105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'1M_File'!$Z$106</c:f>
              <c:numCache>
                <c:formatCode>General</c:formatCode>
                <c:ptCount val="1"/>
                <c:pt idx="0">
                  <c:v>151.53071</c:v>
                </c:pt>
              </c:numCache>
            </c:numRef>
          </c:val>
        </c:ser>
        <c:ser>
          <c:idx val="4"/>
          <c:order val="4"/>
          <c:tx>
            <c:strRef>
              <c:f>'1M_File'!$AA$105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'1M_File'!$AA$106</c:f>
              <c:numCache>
                <c:formatCode>General</c:formatCode>
                <c:ptCount val="1"/>
                <c:pt idx="0">
                  <c:v>147.03017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2503976"/>
        <c:axId val="2082502552"/>
      </c:barChart>
      <c:catAx>
        <c:axId val="208250397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2502552"/>
        <c:crosses val="autoZero"/>
        <c:auto val="1"/>
        <c:lblAlgn val="ctr"/>
        <c:lblOffset val="100"/>
        <c:noMultiLvlLbl val="0"/>
      </c:catAx>
      <c:valAx>
        <c:axId val="2082502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2503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'1M_File'!$AD$105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'1M_File'!$AD$106</c:f>
              <c:numCache>
                <c:formatCode>General</c:formatCode>
                <c:ptCount val="1"/>
                <c:pt idx="0">
                  <c:v>65.36763999999998</c:v>
                </c:pt>
              </c:numCache>
            </c:numRef>
          </c:val>
        </c:ser>
        <c:ser>
          <c:idx val="1"/>
          <c:order val="1"/>
          <c:tx>
            <c:strRef>
              <c:f>'1M_File'!$AE$105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'1M_File'!$AE$106</c:f>
              <c:numCache>
                <c:formatCode>General</c:formatCode>
                <c:ptCount val="1"/>
                <c:pt idx="0">
                  <c:v>65.21395</c:v>
                </c:pt>
              </c:numCache>
            </c:numRef>
          </c:val>
        </c:ser>
        <c:ser>
          <c:idx val="2"/>
          <c:order val="2"/>
          <c:tx>
            <c:strRef>
              <c:f>'1M_File'!$AF$105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'1M_File'!$AF$106</c:f>
              <c:numCache>
                <c:formatCode>General</c:formatCode>
                <c:ptCount val="1"/>
                <c:pt idx="0">
                  <c:v>142.0132399999999</c:v>
                </c:pt>
              </c:numCache>
            </c:numRef>
          </c:val>
        </c:ser>
        <c:ser>
          <c:idx val="3"/>
          <c:order val="3"/>
          <c:tx>
            <c:strRef>
              <c:f>'1M_File'!$AG$105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'1M_File'!$AG$106</c:f>
              <c:numCache>
                <c:formatCode>General</c:formatCode>
                <c:ptCount val="1"/>
                <c:pt idx="0">
                  <c:v>190.72769</c:v>
                </c:pt>
              </c:numCache>
            </c:numRef>
          </c:val>
        </c:ser>
        <c:ser>
          <c:idx val="4"/>
          <c:order val="4"/>
          <c:tx>
            <c:strRef>
              <c:f>'1M_File'!$AH$105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'1M_File'!$AH$106</c:f>
              <c:numCache>
                <c:formatCode>General</c:formatCode>
                <c:ptCount val="1"/>
                <c:pt idx="0">
                  <c:v>141.55201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099944"/>
        <c:axId val="2086103000"/>
      </c:barChart>
      <c:catAx>
        <c:axId val="208609994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6103000"/>
        <c:crosses val="autoZero"/>
        <c:auto val="1"/>
        <c:lblAlgn val="ctr"/>
        <c:lblOffset val="100"/>
        <c:noMultiLvlLbl val="0"/>
      </c:catAx>
      <c:valAx>
        <c:axId val="2086103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099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'1M_File'!$AK$105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'1M_File'!$AK$106</c:f>
              <c:numCache>
                <c:formatCode>General</c:formatCode>
                <c:ptCount val="1"/>
                <c:pt idx="0">
                  <c:v>66.93177</c:v>
                </c:pt>
              </c:numCache>
            </c:numRef>
          </c:val>
        </c:ser>
        <c:ser>
          <c:idx val="1"/>
          <c:order val="1"/>
          <c:tx>
            <c:strRef>
              <c:f>'1M_File'!$AL$105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'1M_File'!$AL$106</c:f>
              <c:numCache>
                <c:formatCode>General</c:formatCode>
                <c:ptCount val="1"/>
                <c:pt idx="0">
                  <c:v>67.82166999999996</c:v>
                </c:pt>
              </c:numCache>
            </c:numRef>
          </c:val>
        </c:ser>
        <c:ser>
          <c:idx val="2"/>
          <c:order val="2"/>
          <c:tx>
            <c:strRef>
              <c:f>'1M_File'!$AM$105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'1M_File'!$AM$106</c:f>
              <c:numCache>
                <c:formatCode>General</c:formatCode>
                <c:ptCount val="1"/>
                <c:pt idx="0">
                  <c:v>142.38094</c:v>
                </c:pt>
              </c:numCache>
            </c:numRef>
          </c:val>
        </c:ser>
        <c:ser>
          <c:idx val="3"/>
          <c:order val="3"/>
          <c:tx>
            <c:strRef>
              <c:f>'1M_File'!$AN$105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'1M_File'!$AN$106</c:f>
              <c:numCache>
                <c:formatCode>General</c:formatCode>
                <c:ptCount val="1"/>
                <c:pt idx="0">
                  <c:v>150.87722</c:v>
                </c:pt>
              </c:numCache>
            </c:numRef>
          </c:val>
        </c:ser>
        <c:ser>
          <c:idx val="4"/>
          <c:order val="4"/>
          <c:tx>
            <c:strRef>
              <c:f>'1M_File'!$AO$105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'1M_File'!$AO$106</c:f>
              <c:numCache>
                <c:formatCode>General</c:formatCode>
                <c:ptCount val="1"/>
                <c:pt idx="0">
                  <c:v>145.48395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139816"/>
        <c:axId val="2086142872"/>
      </c:barChart>
      <c:catAx>
        <c:axId val="208613981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6142872"/>
        <c:crosses val="autoZero"/>
        <c:auto val="1"/>
        <c:lblAlgn val="ctr"/>
        <c:lblOffset val="100"/>
        <c:noMultiLvlLbl val="0"/>
      </c:catAx>
      <c:valAx>
        <c:axId val="2086142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139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'1M_File'!$AK$105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'1M_File'!$AK$110</c:f>
              <c:numCache>
                <c:formatCode>General</c:formatCode>
                <c:ptCount val="1"/>
                <c:pt idx="0">
                  <c:v>14.94058800476963</c:v>
                </c:pt>
              </c:numCache>
            </c:numRef>
          </c:val>
        </c:ser>
        <c:ser>
          <c:idx val="1"/>
          <c:order val="1"/>
          <c:tx>
            <c:strRef>
              <c:f>'1M_File'!$AL$105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'1M_File'!$AL$110</c:f>
              <c:numCache>
                <c:formatCode>General</c:formatCode>
                <c:ptCount val="1"/>
                <c:pt idx="0">
                  <c:v>14.7445499351461</c:v>
                </c:pt>
              </c:numCache>
            </c:numRef>
          </c:val>
        </c:ser>
        <c:ser>
          <c:idx val="2"/>
          <c:order val="2"/>
          <c:tx>
            <c:strRef>
              <c:f>'1M_File'!$AM$105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'1M_File'!$AM$110</c:f>
              <c:numCache>
                <c:formatCode>General</c:formatCode>
                <c:ptCount val="1"/>
                <c:pt idx="0">
                  <c:v>7.023411981968936</c:v>
                </c:pt>
              </c:numCache>
            </c:numRef>
          </c:val>
        </c:ser>
        <c:ser>
          <c:idx val="3"/>
          <c:order val="3"/>
          <c:tx>
            <c:strRef>
              <c:f>'1M_File'!$AN$105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'1M_File'!$AN$110</c:f>
              <c:numCache>
                <c:formatCode>General</c:formatCode>
                <c:ptCount val="1"/>
                <c:pt idx="0">
                  <c:v>6.627905789886641</c:v>
                </c:pt>
              </c:numCache>
            </c:numRef>
          </c:val>
        </c:ser>
        <c:ser>
          <c:idx val="4"/>
          <c:order val="4"/>
          <c:tx>
            <c:strRef>
              <c:f>'1M_File'!$AO$105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'1M_File'!$AO$110</c:f>
              <c:numCache>
                <c:formatCode>General</c:formatCode>
                <c:ptCount val="1"/>
                <c:pt idx="0">
                  <c:v>6.873610456686116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179656"/>
        <c:axId val="2086182712"/>
      </c:barChart>
      <c:catAx>
        <c:axId val="2086179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6182712"/>
        <c:crosses val="autoZero"/>
        <c:auto val="1"/>
        <c:lblAlgn val="ctr"/>
        <c:lblOffset val="100"/>
        <c:noMultiLvlLbl val="0"/>
      </c:catAx>
      <c:valAx>
        <c:axId val="2086182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179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'1M_File'!$AD$105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'1M_File'!$AD$110</c:f>
              <c:numCache>
                <c:formatCode>General</c:formatCode>
                <c:ptCount val="1"/>
                <c:pt idx="0">
                  <c:v>15.29808939101978</c:v>
                </c:pt>
              </c:numCache>
            </c:numRef>
          </c:val>
        </c:ser>
        <c:ser>
          <c:idx val="1"/>
          <c:order val="1"/>
          <c:tx>
            <c:strRef>
              <c:f>'1M_File'!$AE$105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'1M_File'!$AE$110</c:f>
              <c:numCache>
                <c:formatCode>General</c:formatCode>
                <c:ptCount val="1"/>
                <c:pt idx="0">
                  <c:v>15.3341424649174</c:v>
                </c:pt>
              </c:numCache>
            </c:numRef>
          </c:val>
        </c:ser>
        <c:ser>
          <c:idx val="2"/>
          <c:order val="2"/>
          <c:tx>
            <c:strRef>
              <c:f>'1M_File'!$AF$105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'1M_File'!$AF$110</c:f>
              <c:numCache>
                <c:formatCode>General</c:formatCode>
                <c:ptCount val="1"/>
                <c:pt idx="0">
                  <c:v>7.041596966592695</c:v>
                </c:pt>
              </c:numCache>
            </c:numRef>
          </c:val>
        </c:ser>
        <c:ser>
          <c:idx val="3"/>
          <c:order val="3"/>
          <c:tx>
            <c:strRef>
              <c:f>'1M_File'!$AG$105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'1M_File'!$AG$110</c:f>
              <c:numCache>
                <c:formatCode>General</c:formatCode>
                <c:ptCount val="1"/>
                <c:pt idx="0">
                  <c:v>5.243077185069457</c:v>
                </c:pt>
              </c:numCache>
            </c:numRef>
          </c:val>
        </c:ser>
        <c:ser>
          <c:idx val="4"/>
          <c:order val="4"/>
          <c:tx>
            <c:strRef>
              <c:f>'1M_File'!$AH$105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'1M_File'!$AH$110</c:f>
              <c:numCache>
                <c:formatCode>General</c:formatCode>
                <c:ptCount val="1"/>
                <c:pt idx="0">
                  <c:v>7.064541153460131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219560"/>
        <c:axId val="2086222616"/>
      </c:barChart>
      <c:catAx>
        <c:axId val="2086219560"/>
        <c:scaling>
          <c:orientation val="minMax"/>
        </c:scaling>
        <c:delete val="0"/>
        <c:axPos val="b"/>
        <c:majorTickMark val="out"/>
        <c:minorTickMark val="none"/>
        <c:tickLblPos val="nextTo"/>
        <c:crossAx val="2086222616"/>
        <c:crosses val="autoZero"/>
        <c:auto val="1"/>
        <c:lblAlgn val="ctr"/>
        <c:lblOffset val="100"/>
        <c:noMultiLvlLbl val="0"/>
      </c:catAx>
      <c:valAx>
        <c:axId val="2086222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219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'1M_File'!$W$105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'1M_File'!$W$110</c:f>
              <c:numCache>
                <c:formatCode>General</c:formatCode>
                <c:ptCount val="1"/>
                <c:pt idx="0">
                  <c:v>15.0378133335178</c:v>
                </c:pt>
              </c:numCache>
            </c:numRef>
          </c:val>
        </c:ser>
        <c:ser>
          <c:idx val="1"/>
          <c:order val="1"/>
          <c:tx>
            <c:strRef>
              <c:f>'1M_File'!$X$105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'1M_File'!$X$110</c:f>
              <c:numCache>
                <c:formatCode>General</c:formatCode>
                <c:ptCount val="1"/>
                <c:pt idx="0">
                  <c:v>15.39668638674259</c:v>
                </c:pt>
              </c:numCache>
            </c:numRef>
          </c:val>
        </c:ser>
        <c:ser>
          <c:idx val="2"/>
          <c:order val="2"/>
          <c:tx>
            <c:strRef>
              <c:f>'1M_File'!$Y$105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'1M_File'!$Y$110</c:f>
              <c:numCache>
                <c:formatCode>General</c:formatCode>
                <c:ptCount val="1"/>
                <c:pt idx="0">
                  <c:v>6.993215811409192</c:v>
                </c:pt>
              </c:numCache>
            </c:numRef>
          </c:val>
        </c:ser>
        <c:ser>
          <c:idx val="3"/>
          <c:order val="3"/>
          <c:tx>
            <c:strRef>
              <c:f>'1M_File'!$Z$105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'1M_File'!$Z$110</c:f>
              <c:numCache>
                <c:formatCode>General</c:formatCode>
                <c:ptCount val="1"/>
                <c:pt idx="0">
                  <c:v>6.59932234198599</c:v>
                </c:pt>
              </c:numCache>
            </c:numRef>
          </c:val>
        </c:ser>
        <c:ser>
          <c:idx val="4"/>
          <c:order val="4"/>
          <c:tx>
            <c:strRef>
              <c:f>'1M_File'!$AA$105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'1M_File'!$AA$110</c:f>
              <c:numCache>
                <c:formatCode>General</c:formatCode>
                <c:ptCount val="1"/>
                <c:pt idx="0">
                  <c:v>6.801325197406762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259544"/>
        <c:axId val="2086262600"/>
      </c:barChart>
      <c:catAx>
        <c:axId val="208625954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6262600"/>
        <c:crosses val="autoZero"/>
        <c:auto val="1"/>
        <c:lblAlgn val="ctr"/>
        <c:lblOffset val="100"/>
        <c:noMultiLvlLbl val="0"/>
      </c:catAx>
      <c:valAx>
        <c:axId val="2086262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259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'1M_File'!$P$105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'1M_File'!$P$110</c:f>
              <c:numCache>
                <c:formatCode>General</c:formatCode>
                <c:ptCount val="1"/>
                <c:pt idx="0">
                  <c:v>8.4876508499576</c:v>
                </c:pt>
              </c:numCache>
            </c:numRef>
          </c:val>
        </c:ser>
        <c:ser>
          <c:idx val="1"/>
          <c:order val="1"/>
          <c:tx>
            <c:strRef>
              <c:f>'1M_File'!$Q$105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'1M_File'!$Q$110</c:f>
              <c:numCache>
                <c:formatCode>General</c:formatCode>
                <c:ptCount val="1"/>
                <c:pt idx="0">
                  <c:v>8.479606546256256</c:v>
                </c:pt>
              </c:numCache>
            </c:numRef>
          </c:val>
        </c:ser>
        <c:ser>
          <c:idx val="2"/>
          <c:order val="2"/>
          <c:tx>
            <c:strRef>
              <c:f>'1M_File'!$R$105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'1M_File'!$R$110</c:f>
              <c:numCache>
                <c:formatCode>General</c:formatCode>
                <c:ptCount val="1"/>
                <c:pt idx="0">
                  <c:v>8.42457853939712</c:v>
                </c:pt>
              </c:numCache>
            </c:numRef>
          </c:val>
        </c:ser>
        <c:ser>
          <c:idx val="3"/>
          <c:order val="3"/>
          <c:tx>
            <c:strRef>
              <c:f>'1M_File'!$S$105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'1M_File'!$S$110</c:f>
              <c:numCache>
                <c:formatCode>General</c:formatCode>
                <c:ptCount val="1"/>
                <c:pt idx="0">
                  <c:v>8.48157788560879</c:v>
                </c:pt>
              </c:numCache>
            </c:numRef>
          </c:val>
        </c:ser>
        <c:ser>
          <c:idx val="4"/>
          <c:order val="4"/>
          <c:tx>
            <c:strRef>
              <c:f>'1M_File'!$T$105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'1M_File'!$T$110</c:f>
              <c:numCache>
                <c:formatCode>General</c:formatCode>
                <c:ptCount val="1"/>
                <c:pt idx="0">
                  <c:v>8.573152264928234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300504"/>
        <c:axId val="2086303560"/>
      </c:barChart>
      <c:catAx>
        <c:axId val="2086300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6303560"/>
        <c:crosses val="autoZero"/>
        <c:auto val="1"/>
        <c:lblAlgn val="ctr"/>
        <c:lblOffset val="100"/>
        <c:noMultiLvlLbl val="0"/>
      </c:catAx>
      <c:valAx>
        <c:axId val="2086303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3005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'1M_File'!$I$105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'1M_File'!$I$110</c:f>
              <c:numCache>
                <c:formatCode>General</c:formatCode>
                <c:ptCount val="1"/>
                <c:pt idx="0">
                  <c:v>8.380059146457455</c:v>
                </c:pt>
              </c:numCache>
            </c:numRef>
          </c:val>
        </c:ser>
        <c:ser>
          <c:idx val="1"/>
          <c:order val="1"/>
          <c:tx>
            <c:strRef>
              <c:f>'1M_File'!$J$105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'1M_File'!$J$110</c:f>
              <c:numCache>
                <c:formatCode>General</c:formatCode>
                <c:ptCount val="1"/>
                <c:pt idx="0">
                  <c:v>8.3744259435696</c:v>
                </c:pt>
              </c:numCache>
            </c:numRef>
          </c:val>
        </c:ser>
        <c:ser>
          <c:idx val="2"/>
          <c:order val="2"/>
          <c:tx>
            <c:strRef>
              <c:f>'1M_File'!$K$105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'1M_File'!$K$110</c:f>
              <c:numCache>
                <c:formatCode>General</c:formatCode>
                <c:ptCount val="1"/>
                <c:pt idx="0">
                  <c:v>8.38124050405451</c:v>
                </c:pt>
              </c:numCache>
            </c:numRef>
          </c:val>
        </c:ser>
        <c:ser>
          <c:idx val="3"/>
          <c:order val="3"/>
          <c:tx>
            <c:strRef>
              <c:f>'1M_File'!$L$105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'1M_File'!$L$110</c:f>
              <c:numCache>
                <c:formatCode>General</c:formatCode>
                <c:ptCount val="1"/>
                <c:pt idx="0">
                  <c:v>8.316121041807053</c:v>
                </c:pt>
              </c:numCache>
            </c:numRef>
          </c:val>
        </c:ser>
        <c:ser>
          <c:idx val="4"/>
          <c:order val="4"/>
          <c:tx>
            <c:strRef>
              <c:f>'1M_File'!$M$105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'1M_File'!$M$110</c:f>
              <c:numCache>
                <c:formatCode>General</c:formatCode>
                <c:ptCount val="1"/>
                <c:pt idx="0">
                  <c:v>8.403374055523782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340856"/>
        <c:axId val="2086343912"/>
      </c:barChart>
      <c:catAx>
        <c:axId val="20863408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6343912"/>
        <c:crosses val="autoZero"/>
        <c:auto val="1"/>
        <c:lblAlgn val="ctr"/>
        <c:lblOffset val="100"/>
        <c:noMultiLvlLbl val="0"/>
      </c:catAx>
      <c:valAx>
        <c:axId val="2086343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340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'1M_File'!$B$105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'1M_File'!$B$110</c:f>
              <c:numCache>
                <c:formatCode>General</c:formatCode>
                <c:ptCount val="1"/>
                <c:pt idx="0">
                  <c:v>8.498821680868055</c:v>
                </c:pt>
              </c:numCache>
            </c:numRef>
          </c:val>
        </c:ser>
        <c:ser>
          <c:idx val="1"/>
          <c:order val="1"/>
          <c:tx>
            <c:strRef>
              <c:f>'1M_File'!$C$105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'1M_File'!$C$110</c:f>
              <c:numCache>
                <c:formatCode>General</c:formatCode>
                <c:ptCount val="1"/>
                <c:pt idx="0">
                  <c:v>8.52697089420809</c:v>
                </c:pt>
              </c:numCache>
            </c:numRef>
          </c:val>
        </c:ser>
        <c:ser>
          <c:idx val="2"/>
          <c:order val="2"/>
          <c:tx>
            <c:strRef>
              <c:f>'1M_File'!$D$105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'1M_File'!$D$110</c:f>
              <c:numCache>
                <c:formatCode>General</c:formatCode>
                <c:ptCount val="1"/>
                <c:pt idx="0">
                  <c:v>8.536875203177631</c:v>
                </c:pt>
              </c:numCache>
            </c:numRef>
          </c:val>
        </c:ser>
        <c:ser>
          <c:idx val="3"/>
          <c:order val="3"/>
          <c:tx>
            <c:strRef>
              <c:f>'1M_File'!$E$105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'1M_File'!$E$110</c:f>
              <c:numCache>
                <c:formatCode>General</c:formatCode>
                <c:ptCount val="1"/>
                <c:pt idx="0">
                  <c:v>8.484877487702443</c:v>
                </c:pt>
              </c:numCache>
            </c:numRef>
          </c:val>
        </c:ser>
        <c:ser>
          <c:idx val="4"/>
          <c:order val="4"/>
          <c:tx>
            <c:strRef>
              <c:f>'1M_File'!$F$105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'1M_File'!$F$110</c:f>
              <c:numCache>
                <c:formatCode>General</c:formatCode>
                <c:ptCount val="1"/>
                <c:pt idx="0">
                  <c:v>8.53915617254185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381096"/>
        <c:axId val="2086384152"/>
      </c:barChart>
      <c:catAx>
        <c:axId val="208638109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6384152"/>
        <c:crosses val="autoZero"/>
        <c:auto val="1"/>
        <c:lblAlgn val="ctr"/>
        <c:lblOffset val="100"/>
        <c:noMultiLvlLbl val="0"/>
      </c:catAx>
      <c:valAx>
        <c:axId val="2086384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381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'5M_File'!$AK$105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'5M_File'!$AK$106</c:f>
              <c:numCache>
                <c:formatCode>General</c:formatCode>
                <c:ptCount val="1"/>
                <c:pt idx="0">
                  <c:v>361.7554</c:v>
                </c:pt>
              </c:numCache>
            </c:numRef>
          </c:val>
        </c:ser>
        <c:ser>
          <c:idx val="1"/>
          <c:order val="1"/>
          <c:tx>
            <c:strRef>
              <c:f>'5M_File'!$AL$105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'5M_File'!$AL$106</c:f>
              <c:numCache>
                <c:formatCode>General</c:formatCode>
                <c:ptCount val="1"/>
                <c:pt idx="0">
                  <c:v>356.05536</c:v>
                </c:pt>
              </c:numCache>
            </c:numRef>
          </c:val>
        </c:ser>
        <c:ser>
          <c:idx val="2"/>
          <c:order val="2"/>
          <c:tx>
            <c:strRef>
              <c:f>'5M_File'!$AM$105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'5M_File'!$AM$106</c:f>
              <c:numCache>
                <c:formatCode>General</c:formatCode>
                <c:ptCount val="1"/>
                <c:pt idx="0">
                  <c:v>753.7385199999999</c:v>
                </c:pt>
              </c:numCache>
            </c:numRef>
          </c:val>
        </c:ser>
        <c:ser>
          <c:idx val="3"/>
          <c:order val="3"/>
          <c:tx>
            <c:strRef>
              <c:f>'5M_File'!$AN$105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'5M_File'!$AN$106</c:f>
              <c:numCache>
                <c:formatCode>General</c:formatCode>
                <c:ptCount val="1"/>
                <c:pt idx="0">
                  <c:v>795.1363000000002</c:v>
                </c:pt>
              </c:numCache>
            </c:numRef>
          </c:val>
        </c:ser>
        <c:ser>
          <c:idx val="4"/>
          <c:order val="4"/>
          <c:tx>
            <c:strRef>
              <c:f>'5M_File'!$AO$105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'5M_File'!$AO$106</c:f>
              <c:numCache>
                <c:formatCode>General</c:formatCode>
                <c:ptCount val="1"/>
                <c:pt idx="0">
                  <c:v>770.82878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551128"/>
        <c:axId val="2086554184"/>
      </c:barChart>
      <c:catAx>
        <c:axId val="2086551128"/>
        <c:scaling>
          <c:orientation val="minMax"/>
        </c:scaling>
        <c:delete val="0"/>
        <c:axPos val="b"/>
        <c:majorTickMark val="out"/>
        <c:minorTickMark val="none"/>
        <c:tickLblPos val="nextTo"/>
        <c:crossAx val="2086554184"/>
        <c:crosses val="autoZero"/>
        <c:auto val="1"/>
        <c:lblAlgn val="ctr"/>
        <c:lblOffset val="100"/>
        <c:noMultiLvlLbl val="0"/>
      </c:catAx>
      <c:valAx>
        <c:axId val="2086554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551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'5M_File'!$AK$105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'5M_File'!$AK$110</c:f>
              <c:numCache>
                <c:formatCode>General</c:formatCode>
                <c:ptCount val="1"/>
                <c:pt idx="0">
                  <c:v>13.8214937496441</c:v>
                </c:pt>
              </c:numCache>
            </c:numRef>
          </c:val>
        </c:ser>
        <c:ser>
          <c:idx val="1"/>
          <c:order val="1"/>
          <c:tx>
            <c:strRef>
              <c:f>'5M_File'!$AL$105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'5M_File'!$AL$110</c:f>
              <c:numCache>
                <c:formatCode>General</c:formatCode>
                <c:ptCount val="1"/>
                <c:pt idx="0">
                  <c:v>14.04276009213848</c:v>
                </c:pt>
              </c:numCache>
            </c:numRef>
          </c:val>
        </c:ser>
        <c:ser>
          <c:idx val="2"/>
          <c:order val="2"/>
          <c:tx>
            <c:strRef>
              <c:f>'5M_File'!$AM$105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'5M_File'!$AM$110</c:f>
              <c:numCache>
                <c:formatCode>General</c:formatCode>
                <c:ptCount val="1"/>
                <c:pt idx="0">
                  <c:v>6.63360020395402</c:v>
                </c:pt>
              </c:numCache>
            </c:numRef>
          </c:val>
        </c:ser>
        <c:ser>
          <c:idx val="3"/>
          <c:order val="3"/>
          <c:tx>
            <c:strRef>
              <c:f>'5M_File'!$AN$105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'5M_File'!$AN$110</c:f>
              <c:numCache>
                <c:formatCode>General</c:formatCode>
                <c:ptCount val="1"/>
                <c:pt idx="0">
                  <c:v>6.288230080805012</c:v>
                </c:pt>
              </c:numCache>
            </c:numRef>
          </c:val>
        </c:ser>
        <c:ser>
          <c:idx val="4"/>
          <c:order val="4"/>
          <c:tx>
            <c:strRef>
              <c:f>'5M_File'!$AO$105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'5M_File'!$AO$110</c:f>
              <c:numCache>
                <c:formatCode>General</c:formatCode>
                <c:ptCount val="1"/>
                <c:pt idx="0">
                  <c:v>6.486524802563807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592184"/>
        <c:axId val="2086595240"/>
      </c:barChart>
      <c:catAx>
        <c:axId val="2086592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6595240"/>
        <c:crosses val="autoZero"/>
        <c:auto val="1"/>
        <c:lblAlgn val="ctr"/>
        <c:lblOffset val="100"/>
        <c:noMultiLvlLbl val="0"/>
      </c:catAx>
      <c:valAx>
        <c:axId val="2086595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5921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'5M_File'!$AD$105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'5M_File'!$AD$106</c:f>
              <c:numCache>
                <c:formatCode>General</c:formatCode>
                <c:ptCount val="1"/>
                <c:pt idx="0">
                  <c:v>356.3564999999999</c:v>
                </c:pt>
              </c:numCache>
            </c:numRef>
          </c:val>
        </c:ser>
        <c:ser>
          <c:idx val="1"/>
          <c:order val="1"/>
          <c:tx>
            <c:strRef>
              <c:f>'5M_File'!$AE$105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'5M_File'!$AE$106</c:f>
              <c:numCache>
                <c:formatCode>General</c:formatCode>
                <c:ptCount val="1"/>
                <c:pt idx="0">
                  <c:v>355.06464</c:v>
                </c:pt>
              </c:numCache>
            </c:numRef>
          </c:val>
        </c:ser>
        <c:ser>
          <c:idx val="2"/>
          <c:order val="2"/>
          <c:tx>
            <c:strRef>
              <c:f>'5M_File'!$AF$105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'5M_File'!$AF$106</c:f>
              <c:numCache>
                <c:formatCode>General</c:formatCode>
                <c:ptCount val="1"/>
                <c:pt idx="0">
                  <c:v>753.7660999999998</c:v>
                </c:pt>
              </c:numCache>
            </c:numRef>
          </c:val>
        </c:ser>
        <c:ser>
          <c:idx val="3"/>
          <c:order val="3"/>
          <c:tx>
            <c:strRef>
              <c:f>'5M_File'!$AG$105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'5M_File'!$AG$106</c:f>
              <c:numCache>
                <c:formatCode>General</c:formatCode>
                <c:ptCount val="1"/>
                <c:pt idx="0">
                  <c:v>795.5942299999999</c:v>
                </c:pt>
              </c:numCache>
            </c:numRef>
          </c:val>
        </c:ser>
        <c:ser>
          <c:idx val="4"/>
          <c:order val="4"/>
          <c:tx>
            <c:strRef>
              <c:f>'5M_File'!$AH$105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'5M_File'!$AH$106</c:f>
              <c:numCache>
                <c:formatCode>General</c:formatCode>
                <c:ptCount val="1"/>
                <c:pt idx="0">
                  <c:v>764.7764899999995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632408"/>
        <c:axId val="2086635464"/>
      </c:barChart>
      <c:catAx>
        <c:axId val="2086632408"/>
        <c:scaling>
          <c:orientation val="minMax"/>
        </c:scaling>
        <c:delete val="0"/>
        <c:axPos val="b"/>
        <c:majorTickMark val="out"/>
        <c:minorTickMark val="none"/>
        <c:tickLblPos val="nextTo"/>
        <c:crossAx val="2086635464"/>
        <c:crosses val="autoZero"/>
        <c:auto val="1"/>
        <c:lblAlgn val="ctr"/>
        <c:lblOffset val="100"/>
        <c:noMultiLvlLbl val="0"/>
      </c:catAx>
      <c:valAx>
        <c:axId val="2086635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6324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'5M_File'!$AD$105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'5M_File'!$AD$110</c:f>
              <c:numCache>
                <c:formatCode>General</c:formatCode>
                <c:ptCount val="1"/>
                <c:pt idx="0">
                  <c:v>14.03089322069333</c:v>
                </c:pt>
              </c:numCache>
            </c:numRef>
          </c:val>
        </c:ser>
        <c:ser>
          <c:idx val="1"/>
          <c:order val="1"/>
          <c:tx>
            <c:strRef>
              <c:f>'5M_File'!$AE$105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'5M_File'!$AE$110</c:f>
              <c:numCache>
                <c:formatCode>General</c:formatCode>
                <c:ptCount val="1"/>
                <c:pt idx="0">
                  <c:v>14.08194293861535</c:v>
                </c:pt>
              </c:numCache>
            </c:numRef>
          </c:val>
        </c:ser>
        <c:ser>
          <c:idx val="2"/>
          <c:order val="2"/>
          <c:tx>
            <c:strRef>
              <c:f>'5M_File'!$AF$105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'5M_File'!$AF$110</c:f>
              <c:numCache>
                <c:formatCode>General</c:formatCode>
                <c:ptCount val="1"/>
                <c:pt idx="0">
                  <c:v>6.633357483176811</c:v>
                </c:pt>
              </c:numCache>
            </c:numRef>
          </c:val>
        </c:ser>
        <c:ser>
          <c:idx val="3"/>
          <c:order val="3"/>
          <c:tx>
            <c:strRef>
              <c:f>'5M_File'!$AG$105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'5M_File'!$AG$110</c:f>
              <c:numCache>
                <c:formatCode>General</c:formatCode>
                <c:ptCount val="1"/>
                <c:pt idx="0">
                  <c:v>6.284610686530494</c:v>
                </c:pt>
              </c:numCache>
            </c:numRef>
          </c:val>
        </c:ser>
        <c:ser>
          <c:idx val="4"/>
          <c:order val="4"/>
          <c:tx>
            <c:strRef>
              <c:f>'5M_File'!$AH$105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'5M_File'!$AH$110</c:f>
              <c:numCache>
                <c:formatCode>General</c:formatCode>
                <c:ptCount val="1"/>
                <c:pt idx="0">
                  <c:v>6.537857877927188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075000"/>
        <c:axId val="2086071928"/>
      </c:barChart>
      <c:catAx>
        <c:axId val="2086075000"/>
        <c:scaling>
          <c:orientation val="minMax"/>
        </c:scaling>
        <c:delete val="0"/>
        <c:axPos val="b"/>
        <c:majorTickMark val="out"/>
        <c:minorTickMark val="none"/>
        <c:tickLblPos val="nextTo"/>
        <c:crossAx val="2086071928"/>
        <c:crosses val="autoZero"/>
        <c:auto val="1"/>
        <c:lblAlgn val="ctr"/>
        <c:lblOffset val="100"/>
        <c:noMultiLvlLbl val="0"/>
      </c:catAx>
      <c:valAx>
        <c:axId val="2086071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075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'5M_File'!$W$105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'5M_File'!$W$106</c:f>
              <c:numCache>
                <c:formatCode>General</c:formatCode>
                <c:ptCount val="1"/>
                <c:pt idx="0">
                  <c:v>350.32823</c:v>
                </c:pt>
              </c:numCache>
            </c:numRef>
          </c:val>
        </c:ser>
        <c:ser>
          <c:idx val="1"/>
          <c:order val="1"/>
          <c:tx>
            <c:strRef>
              <c:f>'5M_File'!$X$105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'5M_File'!$X$106</c:f>
              <c:numCache>
                <c:formatCode>General</c:formatCode>
                <c:ptCount val="1"/>
                <c:pt idx="0">
                  <c:v>371.24275</c:v>
                </c:pt>
              </c:numCache>
            </c:numRef>
          </c:val>
        </c:ser>
        <c:ser>
          <c:idx val="2"/>
          <c:order val="2"/>
          <c:tx>
            <c:strRef>
              <c:f>'5M_File'!$Y$105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'5M_File'!$Y$106</c:f>
              <c:numCache>
                <c:formatCode>General</c:formatCode>
                <c:ptCount val="1"/>
                <c:pt idx="0">
                  <c:v>779.07748</c:v>
                </c:pt>
              </c:numCache>
            </c:numRef>
          </c:val>
        </c:ser>
        <c:ser>
          <c:idx val="3"/>
          <c:order val="3"/>
          <c:tx>
            <c:strRef>
              <c:f>'5M_File'!$Z$105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'5M_File'!$Z$106</c:f>
              <c:numCache>
                <c:formatCode>General</c:formatCode>
                <c:ptCount val="1"/>
                <c:pt idx="0">
                  <c:v>1027.24114</c:v>
                </c:pt>
              </c:numCache>
            </c:numRef>
          </c:val>
        </c:ser>
        <c:ser>
          <c:idx val="4"/>
          <c:order val="4"/>
          <c:tx>
            <c:strRef>
              <c:f>'5M_File'!$AA$105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'5M_File'!$AA$106</c:f>
              <c:numCache>
                <c:formatCode>General</c:formatCode>
                <c:ptCount val="1"/>
                <c:pt idx="0">
                  <c:v>784.0128700000002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6034328"/>
        <c:axId val="2086031256"/>
      </c:barChart>
      <c:catAx>
        <c:axId val="2086034328"/>
        <c:scaling>
          <c:orientation val="minMax"/>
        </c:scaling>
        <c:delete val="0"/>
        <c:axPos val="b"/>
        <c:majorTickMark val="out"/>
        <c:minorTickMark val="none"/>
        <c:tickLblPos val="nextTo"/>
        <c:crossAx val="2086031256"/>
        <c:crosses val="autoZero"/>
        <c:auto val="1"/>
        <c:lblAlgn val="ctr"/>
        <c:lblOffset val="100"/>
        <c:noMultiLvlLbl val="0"/>
      </c:catAx>
      <c:valAx>
        <c:axId val="2086031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0343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'5M_File'!$W$105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'5M_File'!$W$110</c:f>
              <c:numCache>
                <c:formatCode>General</c:formatCode>
                <c:ptCount val="1"/>
                <c:pt idx="0">
                  <c:v>14.27232969492638</c:v>
                </c:pt>
              </c:numCache>
            </c:numRef>
          </c:val>
        </c:ser>
        <c:ser>
          <c:idx val="1"/>
          <c:order val="1"/>
          <c:tx>
            <c:strRef>
              <c:f>'5M_File'!$X$105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'5M_File'!$X$110</c:f>
              <c:numCache>
                <c:formatCode>General</c:formatCode>
                <c:ptCount val="1"/>
                <c:pt idx="0">
                  <c:v>13.46827648486065</c:v>
                </c:pt>
              </c:numCache>
            </c:numRef>
          </c:val>
        </c:ser>
        <c:ser>
          <c:idx val="2"/>
          <c:order val="2"/>
          <c:tx>
            <c:strRef>
              <c:f>'5M_File'!$Y$105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'5M_File'!$Y$110</c:f>
              <c:numCache>
                <c:formatCode>General</c:formatCode>
                <c:ptCount val="1"/>
                <c:pt idx="0">
                  <c:v>6.41784691299253</c:v>
                </c:pt>
              </c:numCache>
            </c:numRef>
          </c:val>
        </c:ser>
        <c:ser>
          <c:idx val="3"/>
          <c:order val="3"/>
          <c:tx>
            <c:strRef>
              <c:f>'5M_File'!$Z$105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'5M_File'!$Z$110</c:f>
              <c:numCache>
                <c:formatCode>General</c:formatCode>
                <c:ptCount val="1"/>
                <c:pt idx="0">
                  <c:v>4.867406303450814</c:v>
                </c:pt>
              </c:numCache>
            </c:numRef>
          </c:val>
        </c:ser>
        <c:ser>
          <c:idx val="4"/>
          <c:order val="4"/>
          <c:tx>
            <c:strRef>
              <c:f>'5M_File'!$AA$105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'5M_File'!$AA$110</c:f>
              <c:numCache>
                <c:formatCode>General</c:formatCode>
                <c:ptCount val="1"/>
                <c:pt idx="0">
                  <c:v>6.377446329420585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994136"/>
        <c:axId val="2085991064"/>
      </c:barChart>
      <c:catAx>
        <c:axId val="208599413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991064"/>
        <c:crosses val="autoZero"/>
        <c:auto val="1"/>
        <c:lblAlgn val="ctr"/>
        <c:lblOffset val="100"/>
        <c:noMultiLvlLbl val="0"/>
      </c:catAx>
      <c:valAx>
        <c:axId val="2085991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9941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'5M_File'!$P$105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'5M_File'!$P$106</c:f>
              <c:numCache>
                <c:formatCode>General</c:formatCode>
                <c:ptCount val="1"/>
                <c:pt idx="0">
                  <c:v>600.4611999999997</c:v>
                </c:pt>
              </c:numCache>
            </c:numRef>
          </c:val>
        </c:ser>
        <c:ser>
          <c:idx val="1"/>
          <c:order val="1"/>
          <c:tx>
            <c:strRef>
              <c:f>'5M_File'!$Q$105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'5M_File'!$Q$106</c:f>
              <c:numCache>
                <c:formatCode>General</c:formatCode>
                <c:ptCount val="1"/>
                <c:pt idx="0">
                  <c:v>603.1778399999996</c:v>
                </c:pt>
              </c:numCache>
            </c:numRef>
          </c:val>
        </c:ser>
        <c:ser>
          <c:idx val="2"/>
          <c:order val="2"/>
          <c:tx>
            <c:strRef>
              <c:f>'5M_File'!$R$105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'5M_File'!$R$106</c:f>
              <c:numCache>
                <c:formatCode>General</c:formatCode>
                <c:ptCount val="1"/>
                <c:pt idx="0">
                  <c:v>604.9623399999999</c:v>
                </c:pt>
              </c:numCache>
            </c:numRef>
          </c:val>
        </c:ser>
        <c:ser>
          <c:idx val="3"/>
          <c:order val="3"/>
          <c:tx>
            <c:strRef>
              <c:f>'5M_File'!$S$105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'5M_File'!$S$106</c:f>
              <c:numCache>
                <c:formatCode>General</c:formatCode>
                <c:ptCount val="1"/>
                <c:pt idx="0">
                  <c:v>605.50594</c:v>
                </c:pt>
              </c:numCache>
            </c:numRef>
          </c:val>
        </c:ser>
        <c:ser>
          <c:idx val="4"/>
          <c:order val="4"/>
          <c:tx>
            <c:strRef>
              <c:f>'5M_File'!$T$105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'5M_File'!$T$106</c:f>
              <c:numCache>
                <c:formatCode>General</c:formatCode>
                <c:ptCount val="1"/>
                <c:pt idx="0">
                  <c:v>600.7803399999997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953912"/>
        <c:axId val="2085950840"/>
      </c:barChart>
      <c:catAx>
        <c:axId val="20859539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950840"/>
        <c:crosses val="autoZero"/>
        <c:auto val="1"/>
        <c:lblAlgn val="ctr"/>
        <c:lblOffset val="100"/>
        <c:noMultiLvlLbl val="0"/>
      </c:catAx>
      <c:valAx>
        <c:axId val="2085950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953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'5M_File'!$P$105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'5M_File'!$P$110</c:f>
              <c:numCache>
                <c:formatCode>General</c:formatCode>
                <c:ptCount val="1"/>
                <c:pt idx="0">
                  <c:v>8.32693269773301</c:v>
                </c:pt>
              </c:numCache>
            </c:numRef>
          </c:val>
        </c:ser>
        <c:ser>
          <c:idx val="1"/>
          <c:order val="1"/>
          <c:tx>
            <c:strRef>
              <c:f>'5M_File'!$Q$105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'5M_File'!$Q$110</c:f>
              <c:numCache>
                <c:formatCode>General</c:formatCode>
                <c:ptCount val="1"/>
                <c:pt idx="0">
                  <c:v>8.289429200515727</c:v>
                </c:pt>
              </c:numCache>
            </c:numRef>
          </c:val>
        </c:ser>
        <c:ser>
          <c:idx val="2"/>
          <c:order val="2"/>
          <c:tx>
            <c:strRef>
              <c:f>'5M_File'!$R$105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'5M_File'!$R$110</c:f>
              <c:numCache>
                <c:formatCode>General</c:formatCode>
                <c:ptCount val="1"/>
                <c:pt idx="0">
                  <c:v>8.264977287677114</c:v>
                </c:pt>
              </c:numCache>
            </c:numRef>
          </c:val>
        </c:ser>
        <c:ser>
          <c:idx val="3"/>
          <c:order val="3"/>
          <c:tx>
            <c:strRef>
              <c:f>'5M_File'!$S$105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'5M_File'!$S$110</c:f>
              <c:numCache>
                <c:formatCode>General</c:formatCode>
                <c:ptCount val="1"/>
                <c:pt idx="0">
                  <c:v>8.257557308190898</c:v>
                </c:pt>
              </c:numCache>
            </c:numRef>
          </c:val>
        </c:ser>
        <c:ser>
          <c:idx val="4"/>
          <c:order val="4"/>
          <c:tx>
            <c:strRef>
              <c:f>'5M_File'!$T$105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'5M_File'!$T$110</c:f>
              <c:numCache>
                <c:formatCode>General</c:formatCode>
                <c:ptCount val="1"/>
                <c:pt idx="0">
                  <c:v>8.32250935508309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912872"/>
        <c:axId val="2085909800"/>
      </c:barChart>
      <c:catAx>
        <c:axId val="208591287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909800"/>
        <c:crosses val="autoZero"/>
        <c:auto val="1"/>
        <c:lblAlgn val="ctr"/>
        <c:lblOffset val="100"/>
        <c:noMultiLvlLbl val="0"/>
      </c:catAx>
      <c:valAx>
        <c:axId val="2085909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912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'5M_File'!$I$105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'5M_File'!$I$106</c:f>
              <c:numCache>
                <c:formatCode>General</c:formatCode>
                <c:ptCount val="1"/>
                <c:pt idx="0">
                  <c:v>591.50602</c:v>
                </c:pt>
              </c:numCache>
            </c:numRef>
          </c:val>
        </c:ser>
        <c:ser>
          <c:idx val="1"/>
          <c:order val="1"/>
          <c:tx>
            <c:strRef>
              <c:f>'5M_File'!$J$105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'5M_File'!$J$106</c:f>
              <c:numCache>
                <c:formatCode>General</c:formatCode>
                <c:ptCount val="1"/>
                <c:pt idx="0">
                  <c:v>591.0266600000002</c:v>
                </c:pt>
              </c:numCache>
            </c:numRef>
          </c:val>
        </c:ser>
        <c:ser>
          <c:idx val="2"/>
          <c:order val="2"/>
          <c:tx>
            <c:strRef>
              <c:f>'5M_File'!$K$105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'5M_File'!$K$106</c:f>
              <c:numCache>
                <c:formatCode>General</c:formatCode>
                <c:ptCount val="1"/>
                <c:pt idx="0">
                  <c:v>591.1014299999999</c:v>
                </c:pt>
              </c:numCache>
            </c:numRef>
          </c:val>
        </c:ser>
        <c:ser>
          <c:idx val="3"/>
          <c:order val="3"/>
          <c:tx>
            <c:strRef>
              <c:f>'5M_File'!$L$105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'5M_File'!$L$106</c:f>
              <c:numCache>
                <c:formatCode>General</c:formatCode>
                <c:ptCount val="1"/>
                <c:pt idx="0">
                  <c:v>592.86342</c:v>
                </c:pt>
              </c:numCache>
            </c:numRef>
          </c:val>
        </c:ser>
        <c:ser>
          <c:idx val="4"/>
          <c:order val="4"/>
          <c:tx>
            <c:strRef>
              <c:f>'5M_File'!$M$105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'5M_File'!$M$106</c:f>
              <c:numCache>
                <c:formatCode>General</c:formatCode>
                <c:ptCount val="1"/>
                <c:pt idx="0">
                  <c:v>590.49072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872632"/>
        <c:axId val="2085869560"/>
      </c:barChart>
      <c:catAx>
        <c:axId val="2085872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869560"/>
        <c:crosses val="autoZero"/>
        <c:auto val="1"/>
        <c:lblAlgn val="ctr"/>
        <c:lblOffset val="100"/>
        <c:noMultiLvlLbl val="0"/>
      </c:catAx>
      <c:valAx>
        <c:axId val="2085869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872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'5M_File'!$I$105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'5M_File'!$I$110</c:f>
              <c:numCache>
                <c:formatCode>General</c:formatCode>
                <c:ptCount val="1"/>
                <c:pt idx="0">
                  <c:v>8.452999345636413</c:v>
                </c:pt>
              </c:numCache>
            </c:numRef>
          </c:val>
        </c:ser>
        <c:ser>
          <c:idx val="1"/>
          <c:order val="1"/>
          <c:tx>
            <c:strRef>
              <c:f>'5M_File'!$J$105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'5M_File'!$J$110</c:f>
              <c:numCache>
                <c:formatCode>General</c:formatCode>
                <c:ptCount val="1"/>
                <c:pt idx="0">
                  <c:v>8.459855262705065</c:v>
                </c:pt>
              </c:numCache>
            </c:numRef>
          </c:val>
        </c:ser>
        <c:ser>
          <c:idx val="2"/>
          <c:order val="2"/>
          <c:tx>
            <c:strRef>
              <c:f>'5M_File'!$K$105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'5M_File'!$K$110</c:f>
              <c:numCache>
                <c:formatCode>General</c:formatCode>
                <c:ptCount val="1"/>
                <c:pt idx="0">
                  <c:v>8.458785152998192</c:v>
                </c:pt>
              </c:numCache>
            </c:numRef>
          </c:val>
        </c:ser>
        <c:ser>
          <c:idx val="3"/>
          <c:order val="3"/>
          <c:tx>
            <c:strRef>
              <c:f>'5M_File'!$L$105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'5M_File'!$L$110</c:f>
              <c:numCache>
                <c:formatCode>General</c:formatCode>
                <c:ptCount val="1"/>
                <c:pt idx="0">
                  <c:v>8.43364564472539</c:v>
                </c:pt>
              </c:numCache>
            </c:numRef>
          </c:val>
        </c:ser>
        <c:ser>
          <c:idx val="4"/>
          <c:order val="4"/>
          <c:tx>
            <c:strRef>
              <c:f>'5M_File'!$M$105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'5M_File'!$M$110</c:f>
              <c:numCache>
                <c:formatCode>General</c:formatCode>
                <c:ptCount val="1"/>
                <c:pt idx="0">
                  <c:v>8.467533579528565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832072"/>
        <c:axId val="2085829000"/>
      </c:barChart>
      <c:catAx>
        <c:axId val="208583207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829000"/>
        <c:crosses val="autoZero"/>
        <c:auto val="1"/>
        <c:lblAlgn val="ctr"/>
        <c:lblOffset val="100"/>
        <c:noMultiLvlLbl val="0"/>
      </c:catAx>
      <c:valAx>
        <c:axId val="2085829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832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'5M_File'!$B$105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'5M_File'!$B$106</c:f>
              <c:numCache>
                <c:formatCode>General</c:formatCode>
                <c:ptCount val="1"/>
                <c:pt idx="0">
                  <c:v>608.4035200000001</c:v>
                </c:pt>
              </c:numCache>
            </c:numRef>
          </c:val>
        </c:ser>
        <c:ser>
          <c:idx val="1"/>
          <c:order val="1"/>
          <c:tx>
            <c:strRef>
              <c:f>'5M_File'!$C$105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'5M_File'!$C$106</c:f>
              <c:numCache>
                <c:formatCode>General</c:formatCode>
                <c:ptCount val="1"/>
                <c:pt idx="0">
                  <c:v>607.7147899999998</c:v>
                </c:pt>
              </c:numCache>
            </c:numRef>
          </c:val>
        </c:ser>
        <c:ser>
          <c:idx val="2"/>
          <c:order val="2"/>
          <c:tx>
            <c:strRef>
              <c:f>'5M_File'!$D$105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'5M_File'!$D$106</c:f>
              <c:numCache>
                <c:formatCode>General</c:formatCode>
                <c:ptCount val="1"/>
                <c:pt idx="0">
                  <c:v>606.42534</c:v>
                </c:pt>
              </c:numCache>
            </c:numRef>
          </c:val>
        </c:ser>
        <c:ser>
          <c:idx val="3"/>
          <c:order val="3"/>
          <c:tx>
            <c:strRef>
              <c:f>'5M_File'!$E$105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'5M_File'!$E$106</c:f>
              <c:numCache>
                <c:formatCode>General</c:formatCode>
                <c:ptCount val="1"/>
                <c:pt idx="0">
                  <c:v>607.62368</c:v>
                </c:pt>
              </c:numCache>
            </c:numRef>
          </c:val>
        </c:ser>
        <c:ser>
          <c:idx val="4"/>
          <c:order val="4"/>
          <c:tx>
            <c:strRef>
              <c:f>'5M_File'!$F$105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'5M_File'!$F$106</c:f>
              <c:numCache>
                <c:formatCode>General</c:formatCode>
                <c:ptCount val="1"/>
                <c:pt idx="0">
                  <c:v>604.31409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791832"/>
        <c:axId val="2085788760"/>
      </c:barChart>
      <c:catAx>
        <c:axId val="208579183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788760"/>
        <c:crosses val="autoZero"/>
        <c:auto val="1"/>
        <c:lblAlgn val="ctr"/>
        <c:lblOffset val="100"/>
        <c:noMultiLvlLbl val="0"/>
      </c:catAx>
      <c:valAx>
        <c:axId val="2085788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7918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'5M_File'!$B$105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'5M_File'!$B$110</c:f>
              <c:numCache>
                <c:formatCode>General</c:formatCode>
                <c:ptCount val="1"/>
                <c:pt idx="0">
                  <c:v>8.218229901102477</c:v>
                </c:pt>
              </c:numCache>
            </c:numRef>
          </c:val>
        </c:ser>
        <c:ser>
          <c:idx val="1"/>
          <c:order val="1"/>
          <c:tx>
            <c:strRef>
              <c:f>'5M_File'!$C$105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'5M_File'!$C$110</c:f>
              <c:numCache>
                <c:formatCode>General</c:formatCode>
                <c:ptCount val="1"/>
                <c:pt idx="0">
                  <c:v>8.227543713392265</c:v>
                </c:pt>
              </c:numCache>
            </c:numRef>
          </c:val>
        </c:ser>
        <c:ser>
          <c:idx val="2"/>
          <c:order val="2"/>
          <c:tx>
            <c:strRef>
              <c:f>'5M_File'!$D$105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'5M_File'!$D$110</c:f>
              <c:numCache>
                <c:formatCode>General</c:formatCode>
                <c:ptCount val="1"/>
                <c:pt idx="0">
                  <c:v>8.245038045408855</c:v>
                </c:pt>
              </c:numCache>
            </c:numRef>
          </c:val>
        </c:ser>
        <c:ser>
          <c:idx val="3"/>
          <c:order val="3"/>
          <c:tx>
            <c:strRef>
              <c:f>'5M_File'!$E$105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'5M_File'!$E$110</c:f>
              <c:numCache>
                <c:formatCode>General</c:formatCode>
                <c:ptCount val="1"/>
                <c:pt idx="0">
                  <c:v>8.228777390637573</c:v>
                </c:pt>
              </c:numCache>
            </c:numRef>
          </c:val>
        </c:ser>
        <c:ser>
          <c:idx val="4"/>
          <c:order val="4"/>
          <c:tx>
            <c:strRef>
              <c:f>'5M_File'!$F$105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'5M_File'!$F$110</c:f>
              <c:numCache>
                <c:formatCode>General</c:formatCode>
                <c:ptCount val="1"/>
                <c:pt idx="0">
                  <c:v>8.273843159936912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751096"/>
        <c:axId val="2085748024"/>
      </c:barChart>
      <c:catAx>
        <c:axId val="208575109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748024"/>
        <c:crosses val="autoZero"/>
        <c:auto val="1"/>
        <c:lblAlgn val="ctr"/>
        <c:lblOffset val="100"/>
        <c:noMultiLvlLbl val="0"/>
      </c:catAx>
      <c:valAx>
        <c:axId val="2085748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751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'10M_File'!$B$105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'10M_File'!$B$106</c:f>
              <c:numCache>
                <c:formatCode>General</c:formatCode>
                <c:ptCount val="1"/>
                <c:pt idx="0">
                  <c:v>1182.0321</c:v>
                </c:pt>
              </c:numCache>
            </c:numRef>
          </c:val>
        </c:ser>
        <c:ser>
          <c:idx val="1"/>
          <c:order val="1"/>
          <c:tx>
            <c:strRef>
              <c:f>'10M_File'!$C$105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'10M_File'!$C$106</c:f>
              <c:numCache>
                <c:formatCode>General</c:formatCode>
                <c:ptCount val="1"/>
                <c:pt idx="0">
                  <c:v>1190.4</c:v>
                </c:pt>
              </c:numCache>
            </c:numRef>
          </c:val>
        </c:ser>
        <c:ser>
          <c:idx val="2"/>
          <c:order val="2"/>
          <c:tx>
            <c:strRef>
              <c:f>'10M_File'!$D$105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'10M_File'!$D$106</c:f>
              <c:numCache>
                <c:formatCode>General</c:formatCode>
                <c:ptCount val="1"/>
                <c:pt idx="0">
                  <c:v>1220.4305</c:v>
                </c:pt>
              </c:numCache>
            </c:numRef>
          </c:val>
        </c:ser>
        <c:ser>
          <c:idx val="3"/>
          <c:order val="3"/>
          <c:tx>
            <c:strRef>
              <c:f>'10M_File'!$E$105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'10M_File'!$E$106</c:f>
              <c:numCache>
                <c:formatCode>General</c:formatCode>
                <c:ptCount val="1"/>
                <c:pt idx="0">
                  <c:v>1202.7247</c:v>
                </c:pt>
              </c:numCache>
            </c:numRef>
          </c:val>
        </c:ser>
        <c:ser>
          <c:idx val="4"/>
          <c:order val="4"/>
          <c:tx>
            <c:strRef>
              <c:f>'10M_File'!$F$105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'10M_File'!$F$106</c:f>
              <c:numCache>
                <c:formatCode>General</c:formatCode>
                <c:ptCount val="1"/>
                <c:pt idx="0">
                  <c:v>1179.4972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7164712"/>
        <c:axId val="2087167768"/>
      </c:barChart>
      <c:catAx>
        <c:axId val="20871647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7167768"/>
        <c:crosses val="autoZero"/>
        <c:auto val="1"/>
        <c:lblAlgn val="ctr"/>
        <c:lblOffset val="100"/>
        <c:noMultiLvlLbl val="0"/>
      </c:catAx>
      <c:valAx>
        <c:axId val="2087167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7164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'10M_File'!$I$105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'10M_File'!$I$106</c:f>
              <c:numCache>
                <c:formatCode>General</c:formatCode>
                <c:ptCount val="1"/>
                <c:pt idx="0">
                  <c:v>1193.1301</c:v>
                </c:pt>
              </c:numCache>
            </c:numRef>
          </c:val>
        </c:ser>
        <c:ser>
          <c:idx val="1"/>
          <c:order val="1"/>
          <c:tx>
            <c:strRef>
              <c:f>'10M_File'!$J$105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'10M_File'!$J$106</c:f>
              <c:numCache>
                <c:formatCode>General</c:formatCode>
                <c:ptCount val="1"/>
                <c:pt idx="0">
                  <c:v>1191.4591</c:v>
                </c:pt>
              </c:numCache>
            </c:numRef>
          </c:val>
        </c:ser>
        <c:ser>
          <c:idx val="2"/>
          <c:order val="2"/>
          <c:tx>
            <c:strRef>
              <c:f>'10M_File'!$K$105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'10M_File'!$K$106</c:f>
              <c:numCache>
                <c:formatCode>General</c:formatCode>
                <c:ptCount val="1"/>
                <c:pt idx="0">
                  <c:v>1190.4867</c:v>
                </c:pt>
              </c:numCache>
            </c:numRef>
          </c:val>
        </c:ser>
        <c:ser>
          <c:idx val="3"/>
          <c:order val="3"/>
          <c:tx>
            <c:strRef>
              <c:f>'10M_File'!$L$105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'10M_File'!$L$106</c:f>
              <c:numCache>
                <c:formatCode>General</c:formatCode>
                <c:ptCount val="1"/>
                <c:pt idx="0">
                  <c:v>1187.102799999999</c:v>
                </c:pt>
              </c:numCache>
            </c:numRef>
          </c:val>
        </c:ser>
        <c:ser>
          <c:idx val="4"/>
          <c:order val="4"/>
          <c:tx>
            <c:strRef>
              <c:f>'10M_File'!$M$105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'10M_File'!$M$106</c:f>
              <c:numCache>
                <c:formatCode>General</c:formatCode>
                <c:ptCount val="1"/>
                <c:pt idx="0">
                  <c:v>1187.814099999999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7205768"/>
        <c:axId val="2087208824"/>
      </c:barChart>
      <c:catAx>
        <c:axId val="2087205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087208824"/>
        <c:crosses val="autoZero"/>
        <c:auto val="1"/>
        <c:lblAlgn val="ctr"/>
        <c:lblOffset val="100"/>
        <c:noMultiLvlLbl val="0"/>
      </c:catAx>
      <c:valAx>
        <c:axId val="2087208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72057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'10M_File'!$P$105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'10M_File'!$P$106</c:f>
              <c:numCache>
                <c:formatCode>General</c:formatCode>
                <c:ptCount val="1"/>
                <c:pt idx="0">
                  <c:v>1185.3488</c:v>
                </c:pt>
              </c:numCache>
            </c:numRef>
          </c:val>
        </c:ser>
        <c:ser>
          <c:idx val="1"/>
          <c:order val="1"/>
          <c:tx>
            <c:strRef>
              <c:f>'10M_File'!$Q$105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'10M_File'!$Q$106</c:f>
              <c:numCache>
                <c:formatCode>General</c:formatCode>
                <c:ptCount val="1"/>
                <c:pt idx="0">
                  <c:v>1182.9124</c:v>
                </c:pt>
              </c:numCache>
            </c:numRef>
          </c:val>
        </c:ser>
        <c:ser>
          <c:idx val="2"/>
          <c:order val="2"/>
          <c:tx>
            <c:strRef>
              <c:f>'10M_File'!$R$105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'10M_File'!$R$106</c:f>
              <c:numCache>
                <c:formatCode>General</c:formatCode>
                <c:ptCount val="1"/>
                <c:pt idx="0">
                  <c:v>1189.4183</c:v>
                </c:pt>
              </c:numCache>
            </c:numRef>
          </c:val>
        </c:ser>
        <c:ser>
          <c:idx val="3"/>
          <c:order val="3"/>
          <c:tx>
            <c:strRef>
              <c:f>'10M_File'!$S$105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'10M_File'!$S$106</c:f>
              <c:numCache>
                <c:formatCode>General</c:formatCode>
                <c:ptCount val="1"/>
                <c:pt idx="0">
                  <c:v>1184.8856</c:v>
                </c:pt>
              </c:numCache>
            </c:numRef>
          </c:val>
        </c:ser>
        <c:ser>
          <c:idx val="4"/>
          <c:order val="4"/>
          <c:tx>
            <c:strRef>
              <c:f>'10M_File'!$T$105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'10M_File'!$T$106</c:f>
              <c:numCache>
                <c:formatCode>General</c:formatCode>
                <c:ptCount val="1"/>
                <c:pt idx="0">
                  <c:v>1182.8337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7246232"/>
        <c:axId val="2087249288"/>
      </c:barChart>
      <c:catAx>
        <c:axId val="208724623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7249288"/>
        <c:crosses val="autoZero"/>
        <c:auto val="1"/>
        <c:lblAlgn val="ctr"/>
        <c:lblOffset val="100"/>
        <c:noMultiLvlLbl val="0"/>
      </c:catAx>
      <c:valAx>
        <c:axId val="2087249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7246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'10M_File'!$W$105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'10M_File'!$W$106</c:f>
              <c:numCache>
                <c:formatCode>General</c:formatCode>
                <c:ptCount val="1"/>
                <c:pt idx="0">
                  <c:v>732.2580600000001</c:v>
                </c:pt>
              </c:numCache>
            </c:numRef>
          </c:val>
        </c:ser>
        <c:ser>
          <c:idx val="1"/>
          <c:order val="1"/>
          <c:tx>
            <c:strRef>
              <c:f>'10M_File'!$X$105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'10M_File'!$X$106</c:f>
              <c:numCache>
                <c:formatCode>General</c:formatCode>
                <c:ptCount val="1"/>
                <c:pt idx="0">
                  <c:v>713.5211399999997</c:v>
                </c:pt>
              </c:numCache>
            </c:numRef>
          </c:val>
        </c:ser>
        <c:ser>
          <c:idx val="2"/>
          <c:order val="2"/>
          <c:tx>
            <c:strRef>
              <c:f>'10M_File'!$Y$105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'10M_File'!$Y$106</c:f>
              <c:numCache>
                <c:formatCode>General</c:formatCode>
                <c:ptCount val="1"/>
                <c:pt idx="0">
                  <c:v>1549.4659</c:v>
                </c:pt>
              </c:numCache>
            </c:numRef>
          </c:val>
        </c:ser>
        <c:ser>
          <c:idx val="3"/>
          <c:order val="3"/>
          <c:tx>
            <c:strRef>
              <c:f>'10M_File'!$Z$105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'10M_File'!$Z$106</c:f>
              <c:numCache>
                <c:formatCode>General</c:formatCode>
                <c:ptCount val="1"/>
                <c:pt idx="0">
                  <c:v>1618.394199999999</c:v>
                </c:pt>
              </c:numCache>
            </c:numRef>
          </c:val>
        </c:ser>
        <c:ser>
          <c:idx val="4"/>
          <c:order val="4"/>
          <c:tx>
            <c:strRef>
              <c:f>'10M_File'!$AA$105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'10M_File'!$AA$106</c:f>
              <c:numCache>
                <c:formatCode>General</c:formatCode>
                <c:ptCount val="1"/>
                <c:pt idx="0">
                  <c:v>1540.960099999999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7286808"/>
        <c:axId val="2087289864"/>
      </c:barChart>
      <c:catAx>
        <c:axId val="2087286808"/>
        <c:scaling>
          <c:orientation val="minMax"/>
        </c:scaling>
        <c:delete val="0"/>
        <c:axPos val="b"/>
        <c:majorTickMark val="out"/>
        <c:minorTickMark val="none"/>
        <c:tickLblPos val="nextTo"/>
        <c:crossAx val="2087289864"/>
        <c:crosses val="autoZero"/>
        <c:auto val="1"/>
        <c:lblAlgn val="ctr"/>
        <c:lblOffset val="100"/>
        <c:noMultiLvlLbl val="0"/>
      </c:catAx>
      <c:valAx>
        <c:axId val="2087289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72868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'10M_File'!$AD$105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'10M_File'!$AD$106</c:f>
              <c:numCache>
                <c:formatCode>General</c:formatCode>
                <c:ptCount val="1"/>
                <c:pt idx="0">
                  <c:v>716.42056</c:v>
                </c:pt>
              </c:numCache>
            </c:numRef>
          </c:val>
        </c:ser>
        <c:ser>
          <c:idx val="1"/>
          <c:order val="1"/>
          <c:tx>
            <c:strRef>
              <c:f>'10M_File'!$AE$105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'10M_File'!$AE$106</c:f>
              <c:numCache>
                <c:formatCode>General</c:formatCode>
                <c:ptCount val="1"/>
                <c:pt idx="0">
                  <c:v>713.3761900000001</c:v>
                </c:pt>
              </c:numCache>
            </c:numRef>
          </c:val>
        </c:ser>
        <c:ser>
          <c:idx val="2"/>
          <c:order val="2"/>
          <c:tx>
            <c:strRef>
              <c:f>'10M_File'!$AF$105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'10M_File'!$AF$106</c:f>
              <c:numCache>
                <c:formatCode>General</c:formatCode>
                <c:ptCount val="1"/>
                <c:pt idx="0">
                  <c:v>1502.4118</c:v>
                </c:pt>
              </c:numCache>
            </c:numRef>
          </c:val>
        </c:ser>
        <c:ser>
          <c:idx val="3"/>
          <c:order val="3"/>
          <c:tx>
            <c:strRef>
              <c:f>'10M_File'!$AG$105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'10M_File'!$AG$106</c:f>
              <c:numCache>
                <c:formatCode>General</c:formatCode>
                <c:ptCount val="1"/>
                <c:pt idx="0">
                  <c:v>2043.044</c:v>
                </c:pt>
              </c:numCache>
            </c:numRef>
          </c:val>
        </c:ser>
        <c:ser>
          <c:idx val="4"/>
          <c:order val="4"/>
          <c:tx>
            <c:strRef>
              <c:f>'10M_File'!$AH$105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'10M_File'!$AH$106</c:f>
              <c:numCache>
                <c:formatCode>General</c:formatCode>
                <c:ptCount val="1"/>
                <c:pt idx="0">
                  <c:v>1538.193000000001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7327512"/>
        <c:axId val="2087330568"/>
      </c:barChart>
      <c:catAx>
        <c:axId val="20873275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7330568"/>
        <c:crosses val="autoZero"/>
        <c:auto val="1"/>
        <c:lblAlgn val="ctr"/>
        <c:lblOffset val="100"/>
        <c:noMultiLvlLbl val="0"/>
      </c:catAx>
      <c:valAx>
        <c:axId val="2087330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7327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'10M_File'!$AK$105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'10M_File'!$AK$106</c:f>
              <c:numCache>
                <c:formatCode>General</c:formatCode>
                <c:ptCount val="1"/>
                <c:pt idx="0">
                  <c:v>741.8215399999999</c:v>
                </c:pt>
              </c:numCache>
            </c:numRef>
          </c:val>
        </c:ser>
        <c:ser>
          <c:idx val="1"/>
          <c:order val="1"/>
          <c:tx>
            <c:strRef>
              <c:f>'10M_File'!$AL$105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'10M_File'!$AL$106</c:f>
              <c:numCache>
                <c:formatCode>General</c:formatCode>
                <c:ptCount val="1"/>
                <c:pt idx="0">
                  <c:v>722.8820400000001</c:v>
                </c:pt>
              </c:numCache>
            </c:numRef>
          </c:val>
        </c:ser>
        <c:ser>
          <c:idx val="2"/>
          <c:order val="2"/>
          <c:tx>
            <c:strRef>
              <c:f>'10M_File'!$AM$105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'10M_File'!$AM$106</c:f>
              <c:numCache>
                <c:formatCode>General</c:formatCode>
                <c:ptCount val="1"/>
                <c:pt idx="0">
                  <c:v>1544.6084</c:v>
                </c:pt>
              </c:numCache>
            </c:numRef>
          </c:val>
        </c:ser>
        <c:ser>
          <c:idx val="3"/>
          <c:order val="3"/>
          <c:tx>
            <c:strRef>
              <c:f>'10M_File'!$AN$105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'10M_File'!$AN$106</c:f>
              <c:numCache>
                <c:formatCode>General</c:formatCode>
                <c:ptCount val="1"/>
                <c:pt idx="0">
                  <c:v>1647.4159</c:v>
                </c:pt>
              </c:numCache>
            </c:numRef>
          </c:val>
        </c:ser>
        <c:ser>
          <c:idx val="4"/>
          <c:order val="4"/>
          <c:tx>
            <c:strRef>
              <c:f>'10M_File'!$AO$105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'10M_File'!$AO$106</c:f>
              <c:numCache>
                <c:formatCode>General</c:formatCode>
                <c:ptCount val="1"/>
                <c:pt idx="0">
                  <c:v>1561.4413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7368504"/>
        <c:axId val="2087371560"/>
      </c:barChart>
      <c:catAx>
        <c:axId val="2087368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7371560"/>
        <c:crosses val="autoZero"/>
        <c:auto val="1"/>
        <c:lblAlgn val="ctr"/>
        <c:lblOffset val="100"/>
        <c:noMultiLvlLbl val="0"/>
      </c:catAx>
      <c:valAx>
        <c:axId val="2087371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73685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'10M_File'!$AK$105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'10M_File'!$AK$110</c:f>
              <c:numCache>
                <c:formatCode>General</c:formatCode>
                <c:ptCount val="1"/>
                <c:pt idx="0">
                  <c:v>13.48033113193235</c:v>
                </c:pt>
              </c:numCache>
            </c:numRef>
          </c:val>
        </c:ser>
        <c:ser>
          <c:idx val="1"/>
          <c:order val="1"/>
          <c:tx>
            <c:strRef>
              <c:f>'10M_File'!$AL$105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'10M_File'!$AL$110</c:f>
              <c:numCache>
                <c:formatCode>General</c:formatCode>
                <c:ptCount val="1"/>
                <c:pt idx="0">
                  <c:v>13.83351563140232</c:v>
                </c:pt>
              </c:numCache>
            </c:numRef>
          </c:val>
        </c:ser>
        <c:ser>
          <c:idx val="2"/>
          <c:order val="2"/>
          <c:tx>
            <c:strRef>
              <c:f>'10M_File'!$AM$105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'10M_File'!$AM$110</c:f>
              <c:numCache>
                <c:formatCode>General</c:formatCode>
                <c:ptCount val="1"/>
                <c:pt idx="0">
                  <c:v>6.474132861118714</c:v>
                </c:pt>
              </c:numCache>
            </c:numRef>
          </c:val>
        </c:ser>
        <c:ser>
          <c:idx val="3"/>
          <c:order val="3"/>
          <c:tx>
            <c:strRef>
              <c:f>'10M_File'!$AN$105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'10M_File'!$AN$110</c:f>
              <c:numCache>
                <c:formatCode>General</c:formatCode>
                <c:ptCount val="1"/>
                <c:pt idx="0">
                  <c:v>6.070112592697449</c:v>
                </c:pt>
              </c:numCache>
            </c:numRef>
          </c:val>
        </c:ser>
        <c:ser>
          <c:idx val="4"/>
          <c:order val="4"/>
          <c:tx>
            <c:strRef>
              <c:f>'10M_File'!$AO$105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'10M_File'!$AO$110</c:f>
              <c:numCache>
                <c:formatCode>General</c:formatCode>
                <c:ptCount val="1"/>
                <c:pt idx="0">
                  <c:v>6.404339375421924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582632"/>
        <c:axId val="2085585688"/>
      </c:barChart>
      <c:catAx>
        <c:axId val="2085582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585688"/>
        <c:crosses val="autoZero"/>
        <c:auto val="1"/>
        <c:lblAlgn val="ctr"/>
        <c:lblOffset val="100"/>
        <c:noMultiLvlLbl val="0"/>
      </c:catAx>
      <c:valAx>
        <c:axId val="2085585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582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'10M_File'!$AD$105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'10M_File'!$AD$110</c:f>
              <c:numCache>
                <c:formatCode>General</c:formatCode>
                <c:ptCount val="1"/>
                <c:pt idx="0">
                  <c:v>13.95828171095481</c:v>
                </c:pt>
              </c:numCache>
            </c:numRef>
          </c:val>
        </c:ser>
        <c:ser>
          <c:idx val="1"/>
          <c:order val="1"/>
          <c:tx>
            <c:strRef>
              <c:f>'10M_File'!$AE$105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'10M_File'!$AE$110</c:f>
              <c:numCache>
                <c:formatCode>General</c:formatCode>
                <c:ptCount val="1"/>
                <c:pt idx="0">
                  <c:v>14.01784940425331</c:v>
                </c:pt>
              </c:numCache>
            </c:numRef>
          </c:val>
        </c:ser>
        <c:ser>
          <c:idx val="2"/>
          <c:order val="2"/>
          <c:tx>
            <c:strRef>
              <c:f>'10M_File'!$AF$105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'10M_File'!$AF$110</c:f>
              <c:numCache>
                <c:formatCode>General</c:formatCode>
                <c:ptCount val="1"/>
                <c:pt idx="0">
                  <c:v>6.65596476279007</c:v>
                </c:pt>
              </c:numCache>
            </c:numRef>
          </c:val>
        </c:ser>
        <c:ser>
          <c:idx val="3"/>
          <c:order val="3"/>
          <c:tx>
            <c:strRef>
              <c:f>'10M_File'!$AG$105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'10M_File'!$AG$110</c:f>
              <c:numCache>
                <c:formatCode>General</c:formatCode>
                <c:ptCount val="1"/>
                <c:pt idx="0">
                  <c:v>4.894657187999867</c:v>
                </c:pt>
              </c:numCache>
            </c:numRef>
          </c:val>
        </c:ser>
        <c:ser>
          <c:idx val="4"/>
          <c:order val="4"/>
          <c:tx>
            <c:strRef>
              <c:f>'10M_File'!$AH$105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'10M_File'!$AH$110</c:f>
              <c:numCache>
                <c:formatCode>General</c:formatCode>
                <c:ptCount val="1"/>
                <c:pt idx="0">
                  <c:v>6.501134773074637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5023304"/>
        <c:axId val="2085020232"/>
      </c:barChart>
      <c:catAx>
        <c:axId val="20850233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020232"/>
        <c:crosses val="autoZero"/>
        <c:auto val="1"/>
        <c:lblAlgn val="ctr"/>
        <c:lblOffset val="100"/>
        <c:noMultiLvlLbl val="0"/>
      </c:catAx>
      <c:valAx>
        <c:axId val="2085020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023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'10M_File'!$W$105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'10M_File'!$W$110</c:f>
              <c:numCache>
                <c:formatCode>General</c:formatCode>
                <c:ptCount val="1"/>
                <c:pt idx="0">
                  <c:v>13.65638774942265</c:v>
                </c:pt>
              </c:numCache>
            </c:numRef>
          </c:val>
        </c:ser>
        <c:ser>
          <c:idx val="1"/>
          <c:order val="1"/>
          <c:tx>
            <c:strRef>
              <c:f>'10M_File'!$X$105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'10M_File'!$X$110</c:f>
              <c:numCache>
                <c:formatCode>General</c:formatCode>
                <c:ptCount val="1"/>
                <c:pt idx="0">
                  <c:v>14.01500171389456</c:v>
                </c:pt>
              </c:numCache>
            </c:numRef>
          </c:val>
        </c:ser>
        <c:ser>
          <c:idx val="2"/>
          <c:order val="2"/>
          <c:tx>
            <c:strRef>
              <c:f>'10M_File'!$Y$105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'10M_File'!$Y$110</c:f>
              <c:numCache>
                <c:formatCode>General</c:formatCode>
                <c:ptCount val="1"/>
                <c:pt idx="0">
                  <c:v>6.45383677046394</c:v>
                </c:pt>
              </c:numCache>
            </c:numRef>
          </c:val>
        </c:ser>
        <c:ser>
          <c:idx val="3"/>
          <c:order val="3"/>
          <c:tx>
            <c:strRef>
              <c:f>'10M_File'!$Z$105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'10M_File'!$Z$110</c:f>
              <c:numCache>
                <c:formatCode>General</c:formatCode>
                <c:ptCount val="1"/>
                <c:pt idx="0">
                  <c:v>6.178964309189939</c:v>
                </c:pt>
              </c:numCache>
            </c:numRef>
          </c:val>
        </c:ser>
        <c:ser>
          <c:idx val="4"/>
          <c:order val="4"/>
          <c:tx>
            <c:strRef>
              <c:f>'10M_File'!$AA$105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'10M_File'!$AA$110</c:f>
              <c:numCache>
                <c:formatCode>General</c:formatCode>
                <c:ptCount val="1"/>
                <c:pt idx="0">
                  <c:v>6.489460694017972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983032"/>
        <c:axId val="2084979960"/>
      </c:barChart>
      <c:catAx>
        <c:axId val="208498303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4979960"/>
        <c:crosses val="autoZero"/>
        <c:auto val="1"/>
        <c:lblAlgn val="ctr"/>
        <c:lblOffset val="100"/>
        <c:noMultiLvlLbl val="0"/>
      </c:catAx>
      <c:valAx>
        <c:axId val="2084979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4983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'10M_File'!$P$105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'10M_File'!$P$110</c:f>
              <c:numCache>
                <c:formatCode>General</c:formatCode>
                <c:ptCount val="1"/>
                <c:pt idx="0">
                  <c:v>8.436335363903014</c:v>
                </c:pt>
              </c:numCache>
            </c:numRef>
          </c:val>
        </c:ser>
        <c:ser>
          <c:idx val="1"/>
          <c:order val="1"/>
          <c:tx>
            <c:strRef>
              <c:f>'10M_File'!$Q$105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'10M_File'!$Q$110</c:f>
              <c:numCache>
                <c:formatCode>General</c:formatCode>
                <c:ptCount val="1"/>
                <c:pt idx="0">
                  <c:v>8.453711365271001</c:v>
                </c:pt>
              </c:numCache>
            </c:numRef>
          </c:val>
        </c:ser>
        <c:ser>
          <c:idx val="2"/>
          <c:order val="2"/>
          <c:tx>
            <c:strRef>
              <c:f>'10M_File'!$R$105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'10M_File'!$R$110</c:f>
              <c:numCache>
                <c:formatCode>General</c:formatCode>
                <c:ptCount val="1"/>
                <c:pt idx="0">
                  <c:v>8.407471114241307</c:v>
                </c:pt>
              </c:numCache>
            </c:numRef>
          </c:val>
        </c:ser>
        <c:ser>
          <c:idx val="3"/>
          <c:order val="3"/>
          <c:tx>
            <c:strRef>
              <c:f>'10M_File'!$S$105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'10M_File'!$S$110</c:f>
              <c:numCache>
                <c:formatCode>General</c:formatCode>
                <c:ptCount val="1"/>
                <c:pt idx="0">
                  <c:v>8.439633328314567</c:v>
                </c:pt>
              </c:numCache>
            </c:numRef>
          </c:val>
        </c:ser>
        <c:ser>
          <c:idx val="4"/>
          <c:order val="4"/>
          <c:tx>
            <c:strRef>
              <c:f>'10M_File'!$T$105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'10M_File'!$T$110</c:f>
              <c:numCache>
                <c:formatCode>General</c:formatCode>
                <c:ptCount val="1"/>
                <c:pt idx="0">
                  <c:v>8.454273834098572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942696"/>
        <c:axId val="2084939624"/>
      </c:barChart>
      <c:catAx>
        <c:axId val="208494269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4939624"/>
        <c:crosses val="autoZero"/>
        <c:auto val="1"/>
        <c:lblAlgn val="ctr"/>
        <c:lblOffset val="100"/>
        <c:noMultiLvlLbl val="0"/>
      </c:catAx>
      <c:valAx>
        <c:axId val="2084939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49426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'10M_File'!$I$105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'10M_File'!$I$110</c:f>
              <c:numCache>
                <c:formatCode>General</c:formatCode>
                <c:ptCount val="1"/>
                <c:pt idx="0">
                  <c:v>8.381315667084417</c:v>
                </c:pt>
              </c:numCache>
            </c:numRef>
          </c:val>
        </c:ser>
        <c:ser>
          <c:idx val="1"/>
          <c:order val="1"/>
          <c:tx>
            <c:strRef>
              <c:f>'10M_File'!$J$105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'10M_File'!$J$110</c:f>
              <c:numCache>
                <c:formatCode>General</c:formatCode>
                <c:ptCount val="1"/>
                <c:pt idx="0">
                  <c:v>8.393070311855438</c:v>
                </c:pt>
              </c:numCache>
            </c:numRef>
          </c:val>
        </c:ser>
        <c:ser>
          <c:idx val="2"/>
          <c:order val="2"/>
          <c:tx>
            <c:strRef>
              <c:f>'10M_File'!$K$105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'10M_File'!$K$110</c:f>
              <c:numCache>
                <c:formatCode>General</c:formatCode>
                <c:ptCount val="1"/>
                <c:pt idx="0">
                  <c:v>8.399925845454635</c:v>
                </c:pt>
              </c:numCache>
            </c:numRef>
          </c:val>
        </c:ser>
        <c:ser>
          <c:idx val="3"/>
          <c:order val="3"/>
          <c:tx>
            <c:strRef>
              <c:f>'10M_File'!$L$105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'10M_File'!$L$110</c:f>
              <c:numCache>
                <c:formatCode>General</c:formatCode>
                <c:ptCount val="1"/>
                <c:pt idx="0">
                  <c:v>8.423870283180197</c:v>
                </c:pt>
              </c:numCache>
            </c:numRef>
          </c:val>
        </c:ser>
        <c:ser>
          <c:idx val="4"/>
          <c:order val="4"/>
          <c:tx>
            <c:strRef>
              <c:f>'10M_File'!$M$105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'10M_File'!$M$110</c:f>
              <c:numCache>
                <c:formatCode>General</c:formatCode>
                <c:ptCount val="1"/>
                <c:pt idx="0">
                  <c:v>8.418825807843168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902456"/>
        <c:axId val="2084899384"/>
      </c:barChart>
      <c:catAx>
        <c:axId val="20849024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4899384"/>
        <c:crosses val="autoZero"/>
        <c:auto val="1"/>
        <c:lblAlgn val="ctr"/>
        <c:lblOffset val="100"/>
        <c:noMultiLvlLbl val="0"/>
      </c:catAx>
      <c:valAx>
        <c:axId val="2084899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4902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'10M_File'!$B$105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'10M_File'!$B$110</c:f>
              <c:numCache>
                <c:formatCode>General</c:formatCode>
                <c:ptCount val="1"/>
                <c:pt idx="0">
                  <c:v>8.46000713517002</c:v>
                </c:pt>
              </c:numCache>
            </c:numRef>
          </c:val>
        </c:ser>
        <c:ser>
          <c:idx val="1"/>
          <c:order val="1"/>
          <c:tx>
            <c:strRef>
              <c:f>'10M_File'!$C$105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'10M_File'!$C$110</c:f>
              <c:numCache>
                <c:formatCode>General</c:formatCode>
                <c:ptCount val="1"/>
                <c:pt idx="0">
                  <c:v>8.4005376344086</c:v>
                </c:pt>
              </c:numCache>
            </c:numRef>
          </c:val>
        </c:ser>
        <c:ser>
          <c:idx val="2"/>
          <c:order val="2"/>
          <c:tx>
            <c:strRef>
              <c:f>'10M_File'!$D$105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'10M_File'!$D$110</c:f>
              <c:numCache>
                <c:formatCode>General</c:formatCode>
                <c:ptCount val="1"/>
                <c:pt idx="0">
                  <c:v>8.193829964098734</c:v>
                </c:pt>
              </c:numCache>
            </c:numRef>
          </c:val>
        </c:ser>
        <c:ser>
          <c:idx val="3"/>
          <c:order val="3"/>
          <c:tx>
            <c:strRef>
              <c:f>'10M_File'!$E$105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'10M_File'!$E$110</c:f>
              <c:numCache>
                <c:formatCode>General</c:formatCode>
                <c:ptCount val="1"/>
                <c:pt idx="0">
                  <c:v>8.314454671131304</c:v>
                </c:pt>
              </c:numCache>
            </c:numRef>
          </c:val>
        </c:ser>
        <c:ser>
          <c:idx val="4"/>
          <c:order val="4"/>
          <c:tx>
            <c:strRef>
              <c:f>'10M_File'!$F$105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'10M_File'!$F$110</c:f>
              <c:numCache>
                <c:formatCode>General</c:formatCode>
                <c:ptCount val="1"/>
                <c:pt idx="0">
                  <c:v>8.478188841821755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862216"/>
        <c:axId val="2084859144"/>
      </c:barChart>
      <c:catAx>
        <c:axId val="2084862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4859144"/>
        <c:crosses val="autoZero"/>
        <c:auto val="1"/>
        <c:lblAlgn val="ctr"/>
        <c:lblOffset val="100"/>
        <c:noMultiLvlLbl val="0"/>
      </c:catAx>
      <c:valAx>
        <c:axId val="2084859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4862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204505686789"/>
          <c:y val="0.0689655172413793"/>
          <c:w val="0.734129702537183"/>
          <c:h val="0.823693727939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'256M_File'!$C$105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'256M_File'!$C$106</c:f>
              <c:numCache>
                <c:formatCode>General</c:formatCode>
                <c:ptCount val="1"/>
                <c:pt idx="0">
                  <c:v>30775.302</c:v>
                </c:pt>
              </c:numCache>
            </c:numRef>
          </c:val>
        </c:ser>
        <c:ser>
          <c:idx val="1"/>
          <c:order val="1"/>
          <c:tx>
            <c:strRef>
              <c:f>'256M_File'!$D$105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'256M_File'!$D$106</c:f>
              <c:numCache>
                <c:formatCode>General</c:formatCode>
                <c:ptCount val="1"/>
                <c:pt idx="0">
                  <c:v>30892.98699999998</c:v>
                </c:pt>
              </c:numCache>
            </c:numRef>
          </c:val>
        </c:ser>
        <c:ser>
          <c:idx val="2"/>
          <c:order val="2"/>
          <c:tx>
            <c:strRef>
              <c:f>'256M_File'!$E$105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'256M_File'!$E$106</c:f>
              <c:numCache>
                <c:formatCode>General</c:formatCode>
                <c:ptCount val="1"/>
                <c:pt idx="0">
                  <c:v>30959.47600000001</c:v>
                </c:pt>
              </c:numCache>
            </c:numRef>
          </c:val>
        </c:ser>
        <c:ser>
          <c:idx val="3"/>
          <c:order val="3"/>
          <c:tx>
            <c:strRef>
              <c:f>'256M_File'!$F$105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'256M_File'!$F$106</c:f>
              <c:numCache>
                <c:formatCode>General</c:formatCode>
                <c:ptCount val="1"/>
                <c:pt idx="0">
                  <c:v>30923.73299999999</c:v>
                </c:pt>
              </c:numCache>
            </c:numRef>
          </c:val>
        </c:ser>
        <c:ser>
          <c:idx val="4"/>
          <c:order val="4"/>
          <c:tx>
            <c:strRef>
              <c:f>'256M_File'!$G$105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'256M_File'!$G$106</c:f>
              <c:numCache>
                <c:formatCode>General</c:formatCode>
                <c:ptCount val="1"/>
                <c:pt idx="0">
                  <c:v>30799.14300000001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701864"/>
        <c:axId val="2084698792"/>
      </c:barChart>
      <c:catAx>
        <c:axId val="208470186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4698792"/>
        <c:crossesAt val="0.0"/>
        <c:auto val="1"/>
        <c:lblAlgn val="ctr"/>
        <c:lblOffset val="100"/>
        <c:noMultiLvlLbl val="0"/>
      </c:catAx>
      <c:valAx>
        <c:axId val="2084698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47018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'256M_File'!$C$105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multiLvlStrRef>
              <c:f>'256M_File'!#REF!</c:f>
            </c:multiLvl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'256M_File'!$D$105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multiLvlStrRef>
              <c:f>'256M_File'!#REF!</c:f>
            </c:multiLvl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'256M_File'!$E$105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multiLvlStrRef>
              <c:f>'256M_File'!#REF!</c:f>
            </c:multiLvl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'256M_File'!$F$105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multiLvlStrRef>
              <c:f>'256M_File'!#REF!</c:f>
            </c:multiLvl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4"/>
          <c:order val="4"/>
          <c:tx>
            <c:strRef>
              <c:f>'256M_File'!$G$105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multiLvlStrRef>
              <c:f>'256M_File'!#REF!</c:f>
            </c:multiLvl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662424"/>
        <c:axId val="2084659352"/>
      </c:barChart>
      <c:catAx>
        <c:axId val="208466242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4659352"/>
        <c:crossesAt val="0.0"/>
        <c:auto val="1"/>
        <c:lblAlgn val="ctr"/>
        <c:lblOffset val="100"/>
        <c:noMultiLvlLbl val="0"/>
      </c:catAx>
      <c:valAx>
        <c:axId val="2084659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4662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'256M_File'!$J$105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'256M_File'!$J$106</c:f>
              <c:numCache>
                <c:formatCode>General</c:formatCode>
                <c:ptCount val="1"/>
                <c:pt idx="0">
                  <c:v>34190.96300000001</c:v>
                </c:pt>
              </c:numCache>
            </c:numRef>
          </c:val>
        </c:ser>
        <c:ser>
          <c:idx val="1"/>
          <c:order val="1"/>
          <c:tx>
            <c:strRef>
              <c:f>'256M_File'!$K$105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'256M_File'!$K$106</c:f>
              <c:numCache>
                <c:formatCode>General</c:formatCode>
                <c:ptCount val="1"/>
                <c:pt idx="0">
                  <c:v>33476.076</c:v>
                </c:pt>
              </c:numCache>
            </c:numRef>
          </c:val>
        </c:ser>
        <c:ser>
          <c:idx val="2"/>
          <c:order val="2"/>
          <c:tx>
            <c:strRef>
              <c:f>'256M_File'!$L$105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'256M_File'!$L$106</c:f>
              <c:numCache>
                <c:formatCode>General</c:formatCode>
                <c:ptCount val="1"/>
                <c:pt idx="0">
                  <c:v>34188.90899999998</c:v>
                </c:pt>
              </c:numCache>
            </c:numRef>
          </c:val>
        </c:ser>
        <c:ser>
          <c:idx val="3"/>
          <c:order val="3"/>
          <c:tx>
            <c:strRef>
              <c:f>'256M_File'!$M$105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'256M_File'!$M$106</c:f>
              <c:numCache>
                <c:formatCode>General</c:formatCode>
                <c:ptCount val="1"/>
                <c:pt idx="0">
                  <c:v>34252.75400000003</c:v>
                </c:pt>
              </c:numCache>
            </c:numRef>
          </c:val>
        </c:ser>
        <c:ser>
          <c:idx val="4"/>
          <c:order val="4"/>
          <c:tx>
            <c:strRef>
              <c:f>'256M_File'!$N$105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'256M_File'!$N$106</c:f>
              <c:numCache>
                <c:formatCode>General</c:formatCode>
                <c:ptCount val="1"/>
                <c:pt idx="0">
                  <c:v>34343.757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621848"/>
        <c:axId val="2084618776"/>
      </c:barChart>
      <c:catAx>
        <c:axId val="2084621848"/>
        <c:scaling>
          <c:orientation val="minMax"/>
        </c:scaling>
        <c:delete val="0"/>
        <c:axPos val="b"/>
        <c:majorTickMark val="out"/>
        <c:minorTickMark val="none"/>
        <c:tickLblPos val="nextTo"/>
        <c:crossAx val="2084618776"/>
        <c:crosses val="autoZero"/>
        <c:auto val="1"/>
        <c:lblAlgn val="ctr"/>
        <c:lblOffset val="100"/>
        <c:noMultiLvlLbl val="0"/>
      </c:catAx>
      <c:valAx>
        <c:axId val="2084618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4621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'256M_File'!$J$105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'256M_File'!$I$110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'256M_File'!$K$105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'256M_File'!$I$110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'256M_File'!$L$105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'256M_File'!$I$110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'256M_File'!$M$105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'256M_File'!$I$110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4"/>
          <c:order val="4"/>
          <c:tx>
            <c:strRef>
              <c:f>'256M_File'!$N$105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'256M_File'!$I$110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580792"/>
        <c:axId val="2084577720"/>
      </c:barChart>
      <c:catAx>
        <c:axId val="2084580792"/>
        <c:scaling>
          <c:orientation val="minMax"/>
        </c:scaling>
        <c:delete val="0"/>
        <c:axPos val="b"/>
        <c:majorTickMark val="out"/>
        <c:minorTickMark val="none"/>
        <c:tickLblPos val="nextTo"/>
        <c:crossAx val="2084577720"/>
        <c:crosses val="autoZero"/>
        <c:auto val="1"/>
        <c:lblAlgn val="ctr"/>
        <c:lblOffset val="100"/>
        <c:noMultiLvlLbl val="0"/>
      </c:catAx>
      <c:valAx>
        <c:axId val="2084577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45807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'256M_File'!$Q$105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'256M_File'!$P$106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'256M_File'!$Q$106</c:f>
              <c:numCache>
                <c:formatCode>General</c:formatCode>
                <c:ptCount val="1"/>
                <c:pt idx="0">
                  <c:v>34416.435</c:v>
                </c:pt>
              </c:numCache>
            </c:numRef>
          </c:val>
        </c:ser>
        <c:ser>
          <c:idx val="1"/>
          <c:order val="1"/>
          <c:tx>
            <c:strRef>
              <c:f>'256M_File'!$R$105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'256M_File'!$P$106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'256M_File'!$R$106</c:f>
              <c:numCache>
                <c:formatCode>General</c:formatCode>
                <c:ptCount val="1"/>
                <c:pt idx="0">
                  <c:v>34678.666</c:v>
                </c:pt>
              </c:numCache>
            </c:numRef>
          </c:val>
        </c:ser>
        <c:ser>
          <c:idx val="2"/>
          <c:order val="2"/>
          <c:tx>
            <c:strRef>
              <c:f>'256M_File'!$S$105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'256M_File'!$P$106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'256M_File'!$S$106</c:f>
              <c:numCache>
                <c:formatCode>General</c:formatCode>
                <c:ptCount val="1"/>
                <c:pt idx="0">
                  <c:v>35525.191</c:v>
                </c:pt>
              </c:numCache>
            </c:numRef>
          </c:val>
        </c:ser>
        <c:ser>
          <c:idx val="3"/>
          <c:order val="3"/>
          <c:tx>
            <c:strRef>
              <c:f>'256M_File'!$T$105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'256M_File'!$P$106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'256M_File'!$T$106</c:f>
              <c:numCache>
                <c:formatCode>General</c:formatCode>
                <c:ptCount val="1"/>
                <c:pt idx="0">
                  <c:v>35462.199</c:v>
                </c:pt>
              </c:numCache>
            </c:numRef>
          </c:val>
        </c:ser>
        <c:ser>
          <c:idx val="4"/>
          <c:order val="4"/>
          <c:tx>
            <c:strRef>
              <c:f>'256M_File'!$U$105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'256M_File'!$P$106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'256M_File'!$U$106</c:f>
              <c:numCache>
                <c:formatCode>General</c:formatCode>
                <c:ptCount val="1"/>
                <c:pt idx="0">
                  <c:v>34766.817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586696"/>
        <c:axId val="-2138583640"/>
      </c:barChart>
      <c:catAx>
        <c:axId val="-21385866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8583640"/>
        <c:crosses val="autoZero"/>
        <c:auto val="1"/>
        <c:lblAlgn val="ctr"/>
        <c:lblOffset val="100"/>
        <c:noMultiLvlLbl val="0"/>
      </c:catAx>
      <c:valAx>
        <c:axId val="-2138583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5866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'256M_File'!$X$105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'256M_File'!$W$106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'256M_File'!$X$106</c:f>
              <c:numCache>
                <c:formatCode>General</c:formatCode>
                <c:ptCount val="1"/>
                <c:pt idx="0">
                  <c:v>20611.728</c:v>
                </c:pt>
              </c:numCache>
            </c:numRef>
          </c:val>
        </c:ser>
        <c:ser>
          <c:idx val="1"/>
          <c:order val="1"/>
          <c:tx>
            <c:strRef>
              <c:f>'256M_File'!$Y$105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'256M_File'!$W$106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'256M_File'!$Y$106</c:f>
              <c:numCache>
                <c:formatCode>General</c:formatCode>
                <c:ptCount val="1"/>
                <c:pt idx="0">
                  <c:v>20558.08</c:v>
                </c:pt>
              </c:numCache>
            </c:numRef>
          </c:val>
        </c:ser>
        <c:ser>
          <c:idx val="2"/>
          <c:order val="2"/>
          <c:tx>
            <c:strRef>
              <c:f>'256M_File'!$Z$105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'256M_File'!$W$106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'256M_File'!$Z$106</c:f>
              <c:numCache>
                <c:formatCode>General</c:formatCode>
                <c:ptCount val="1"/>
                <c:pt idx="0">
                  <c:v>40192.21800000001</c:v>
                </c:pt>
              </c:numCache>
            </c:numRef>
          </c:val>
        </c:ser>
        <c:ser>
          <c:idx val="3"/>
          <c:order val="3"/>
          <c:tx>
            <c:strRef>
              <c:f>'256M_File'!$AA$105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'256M_File'!$W$106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'256M_File'!$AA$106</c:f>
              <c:numCache>
                <c:formatCode>General</c:formatCode>
                <c:ptCount val="1"/>
                <c:pt idx="0">
                  <c:v>41132.45899999998</c:v>
                </c:pt>
              </c:numCache>
            </c:numRef>
          </c:val>
        </c:ser>
        <c:ser>
          <c:idx val="4"/>
          <c:order val="4"/>
          <c:tx>
            <c:strRef>
              <c:f>'256M_File'!$AB$105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'256M_File'!$W$106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'256M_File'!$AB$106</c:f>
              <c:numCache>
                <c:formatCode>General</c:formatCode>
                <c:ptCount val="1"/>
                <c:pt idx="0">
                  <c:v>40136.506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545992"/>
        <c:axId val="-2138542936"/>
      </c:barChart>
      <c:catAx>
        <c:axId val="-2138545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8542936"/>
        <c:crosses val="autoZero"/>
        <c:auto val="1"/>
        <c:lblAlgn val="ctr"/>
        <c:lblOffset val="100"/>
        <c:noMultiLvlLbl val="0"/>
      </c:catAx>
      <c:valAx>
        <c:axId val="-2138542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545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'256M_File'!$Q$105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'256M_File'!$P$110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'256M_File'!$R$105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'256M_File'!$P$110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'256M_File'!$S$105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'256M_File'!$P$110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'256M_File'!$T$105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'256M_File'!$P$110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4"/>
          <c:order val="4"/>
          <c:tx>
            <c:strRef>
              <c:f>'256M_File'!$U$105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'256M_File'!$P$110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505560"/>
        <c:axId val="-2138502504"/>
      </c:barChart>
      <c:catAx>
        <c:axId val="-21385055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8502504"/>
        <c:crosses val="autoZero"/>
        <c:auto val="1"/>
        <c:lblAlgn val="ctr"/>
        <c:lblOffset val="100"/>
        <c:noMultiLvlLbl val="0"/>
      </c:catAx>
      <c:valAx>
        <c:axId val="-2138502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505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'256M_File'!$X$105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'256M_File'!$W$110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'256M_File'!$Y$105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'256M_File'!$W$110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'256M_File'!$Z$105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'256M_File'!$W$110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'256M_File'!$AA$105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'256M_File'!$W$110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4"/>
          <c:order val="4"/>
          <c:tx>
            <c:strRef>
              <c:f>'256M_File'!$AB$105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'256M_File'!$W$110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465736"/>
        <c:axId val="-2138462680"/>
      </c:barChart>
      <c:catAx>
        <c:axId val="-21384657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8462680"/>
        <c:crosses val="autoZero"/>
        <c:auto val="1"/>
        <c:lblAlgn val="ctr"/>
        <c:lblOffset val="100"/>
        <c:noMultiLvlLbl val="0"/>
      </c:catAx>
      <c:valAx>
        <c:axId val="-2138462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4657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'256M_File'!$AE$105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'256M_File'!$AD$106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'256M_File'!$AE$106</c:f>
              <c:numCache>
                <c:formatCode>General</c:formatCode>
                <c:ptCount val="1"/>
                <c:pt idx="0">
                  <c:v>21289.26700000001</c:v>
                </c:pt>
              </c:numCache>
            </c:numRef>
          </c:val>
        </c:ser>
        <c:ser>
          <c:idx val="1"/>
          <c:order val="1"/>
          <c:tx>
            <c:strRef>
              <c:f>'256M_File'!$AF$105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'256M_File'!$AD$106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'256M_File'!$AF$106</c:f>
              <c:numCache>
                <c:formatCode>General</c:formatCode>
                <c:ptCount val="1"/>
                <c:pt idx="0">
                  <c:v>21170.742</c:v>
                </c:pt>
              </c:numCache>
            </c:numRef>
          </c:val>
        </c:ser>
        <c:ser>
          <c:idx val="2"/>
          <c:order val="2"/>
          <c:tx>
            <c:strRef>
              <c:f>'256M_File'!$AG$105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'256M_File'!$AD$106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'256M_File'!$AG$106</c:f>
              <c:numCache>
                <c:formatCode>General</c:formatCode>
                <c:ptCount val="1"/>
                <c:pt idx="0">
                  <c:v>42266.344</c:v>
                </c:pt>
              </c:numCache>
            </c:numRef>
          </c:val>
        </c:ser>
        <c:ser>
          <c:idx val="3"/>
          <c:order val="3"/>
          <c:tx>
            <c:strRef>
              <c:f>'256M_File'!$AH$105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'256M_File'!$AD$106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'256M_File'!$AH$106</c:f>
              <c:numCache>
                <c:formatCode>General</c:formatCode>
                <c:ptCount val="1"/>
                <c:pt idx="0">
                  <c:v>45469.72100000003</c:v>
                </c:pt>
              </c:numCache>
            </c:numRef>
          </c:val>
        </c:ser>
        <c:ser>
          <c:idx val="4"/>
          <c:order val="4"/>
          <c:tx>
            <c:strRef>
              <c:f>'256M_File'!$AI$105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'256M_File'!$AD$106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'256M_File'!$AI$106</c:f>
              <c:numCache>
                <c:formatCode>General</c:formatCode>
                <c:ptCount val="1"/>
                <c:pt idx="0">
                  <c:v>43345.698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425896"/>
        <c:axId val="-2138422840"/>
      </c:barChart>
      <c:catAx>
        <c:axId val="-21384258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8422840"/>
        <c:crosses val="autoZero"/>
        <c:auto val="1"/>
        <c:lblAlgn val="ctr"/>
        <c:lblOffset val="100"/>
        <c:noMultiLvlLbl val="0"/>
      </c:catAx>
      <c:valAx>
        <c:axId val="-2138422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4258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'256M_File'!$AE$105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'256M_File'!$AD$110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'256M_File'!$AF$105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'256M_File'!$AD$110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'256M_File'!$AG$105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'256M_File'!$AD$110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'256M_File'!$AH$105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'256M_File'!$AD$110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4"/>
          <c:order val="4"/>
          <c:tx>
            <c:strRef>
              <c:f>'256M_File'!$AI$105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'256M_File'!$AD$110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385096"/>
        <c:axId val="-2138382040"/>
      </c:barChart>
      <c:catAx>
        <c:axId val="-21383850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8382040"/>
        <c:crosses val="autoZero"/>
        <c:auto val="1"/>
        <c:lblAlgn val="ctr"/>
        <c:lblOffset val="100"/>
        <c:noMultiLvlLbl val="0"/>
      </c:catAx>
      <c:valAx>
        <c:axId val="-2138382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385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'256M_File'!$AL$105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'256M_File'!$AK$106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'256M_File'!$AL$106</c:f>
              <c:numCache>
                <c:formatCode>General</c:formatCode>
                <c:ptCount val="1"/>
                <c:pt idx="0">
                  <c:v>18046.44</c:v>
                </c:pt>
              </c:numCache>
            </c:numRef>
          </c:val>
        </c:ser>
        <c:ser>
          <c:idx val="1"/>
          <c:order val="1"/>
          <c:tx>
            <c:strRef>
              <c:f>'256M_File'!$AM$105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'256M_File'!$AK$106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'256M_File'!$AM$106</c:f>
              <c:numCache>
                <c:formatCode>General</c:formatCode>
                <c:ptCount val="1"/>
                <c:pt idx="0">
                  <c:v>18287.77</c:v>
                </c:pt>
              </c:numCache>
            </c:numRef>
          </c:val>
        </c:ser>
        <c:ser>
          <c:idx val="2"/>
          <c:order val="2"/>
          <c:tx>
            <c:strRef>
              <c:f>'256M_File'!$AN$105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'256M_File'!$AK$106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'256M_File'!$AN$106</c:f>
              <c:numCache>
                <c:formatCode>General</c:formatCode>
                <c:ptCount val="1"/>
                <c:pt idx="0">
                  <c:v>38486.26</c:v>
                </c:pt>
              </c:numCache>
            </c:numRef>
          </c:val>
        </c:ser>
        <c:ser>
          <c:idx val="3"/>
          <c:order val="3"/>
          <c:tx>
            <c:strRef>
              <c:f>'256M_File'!$AO$105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'256M_File'!$AK$106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'256M_File'!$AO$106</c:f>
              <c:numCache>
                <c:formatCode>General</c:formatCode>
                <c:ptCount val="1"/>
                <c:pt idx="0">
                  <c:v>39702.75000000001</c:v>
                </c:pt>
              </c:numCache>
            </c:numRef>
          </c:val>
        </c:ser>
        <c:ser>
          <c:idx val="4"/>
          <c:order val="4"/>
          <c:tx>
            <c:strRef>
              <c:f>'256M_File'!$AP$105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'256M_File'!$AK$106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'256M_File'!$AP$106</c:f>
              <c:numCache>
                <c:formatCode>General</c:formatCode>
                <c:ptCount val="1"/>
                <c:pt idx="0">
                  <c:v>38000.57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345256"/>
        <c:axId val="-2138342200"/>
      </c:barChart>
      <c:catAx>
        <c:axId val="-21383452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8342200"/>
        <c:crosses val="autoZero"/>
        <c:auto val="1"/>
        <c:lblAlgn val="ctr"/>
        <c:lblOffset val="100"/>
        <c:noMultiLvlLbl val="0"/>
      </c:catAx>
      <c:valAx>
        <c:axId val="-2138342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345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'256M_File'!$AL$105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'256M_File'!$AK$110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'256M_File'!$AL$110</c:f>
              <c:numCache>
                <c:formatCode>General</c:formatCode>
                <c:ptCount val="1"/>
                <c:pt idx="0">
                  <c:v>14.18562331407191</c:v>
                </c:pt>
              </c:numCache>
            </c:numRef>
          </c:val>
        </c:ser>
        <c:ser>
          <c:idx val="1"/>
          <c:order val="1"/>
          <c:tx>
            <c:strRef>
              <c:f>'256M_File'!$AM$105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'256M_File'!$AK$110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'256M_File'!$AM$110</c:f>
              <c:numCache>
                <c:formatCode>General</c:formatCode>
                <c:ptCount val="1"/>
                <c:pt idx="0">
                  <c:v>13.9984262706716</c:v>
                </c:pt>
              </c:numCache>
            </c:numRef>
          </c:val>
        </c:ser>
        <c:ser>
          <c:idx val="2"/>
          <c:order val="2"/>
          <c:tx>
            <c:strRef>
              <c:f>'256M_File'!$AN$105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'256M_File'!$AK$110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'256M_File'!$AN$110</c:f>
              <c:numCache>
                <c:formatCode>General</c:formatCode>
                <c:ptCount val="1"/>
                <c:pt idx="0">
                  <c:v>6.651724537536254</c:v>
                </c:pt>
              </c:numCache>
            </c:numRef>
          </c:val>
        </c:ser>
        <c:ser>
          <c:idx val="3"/>
          <c:order val="3"/>
          <c:tx>
            <c:strRef>
              <c:f>'256M_File'!$AO$105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'256M_File'!$AK$110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'256M_File'!$AO$110</c:f>
              <c:numCache>
                <c:formatCode>General</c:formatCode>
                <c:ptCount val="1"/>
                <c:pt idx="0">
                  <c:v>6.447916076342318</c:v>
                </c:pt>
              </c:numCache>
            </c:numRef>
          </c:val>
        </c:ser>
        <c:ser>
          <c:idx val="4"/>
          <c:order val="4"/>
          <c:tx>
            <c:strRef>
              <c:f>'256M_File'!$AP$105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'256M_File'!$AK$110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'256M_File'!$AP$110</c:f>
              <c:numCache>
                <c:formatCode>General</c:formatCode>
                <c:ptCount val="1"/>
                <c:pt idx="0">
                  <c:v>6.736741054147345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304536"/>
        <c:axId val="-2138301480"/>
      </c:barChart>
      <c:catAx>
        <c:axId val="-21383045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8301480"/>
        <c:crosses val="autoZero"/>
        <c:auto val="1"/>
        <c:lblAlgn val="ctr"/>
        <c:lblOffset val="100"/>
        <c:noMultiLvlLbl val="0"/>
      </c:catAx>
      <c:valAx>
        <c:axId val="-2138301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304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21.xml"/><Relationship Id="rId12" Type="http://schemas.openxmlformats.org/officeDocument/2006/relationships/chart" Target="../charts/chart22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9" Type="http://schemas.openxmlformats.org/officeDocument/2006/relationships/chart" Target="../charts/chart19.xml"/><Relationship Id="rId10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33.xml"/><Relationship Id="rId12" Type="http://schemas.openxmlformats.org/officeDocument/2006/relationships/chart" Target="../charts/chart34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5" Type="http://schemas.openxmlformats.org/officeDocument/2006/relationships/chart" Target="../charts/chart27.xml"/><Relationship Id="rId6" Type="http://schemas.openxmlformats.org/officeDocument/2006/relationships/chart" Target="../charts/chart28.xml"/><Relationship Id="rId7" Type="http://schemas.openxmlformats.org/officeDocument/2006/relationships/chart" Target="../charts/chart29.xml"/><Relationship Id="rId8" Type="http://schemas.openxmlformats.org/officeDocument/2006/relationships/chart" Target="../charts/chart30.xml"/><Relationship Id="rId9" Type="http://schemas.openxmlformats.org/officeDocument/2006/relationships/chart" Target="../charts/chart31.xml"/><Relationship Id="rId10" Type="http://schemas.openxmlformats.org/officeDocument/2006/relationships/chart" Target="../charts/chart32.xml"/></Relationships>
</file>

<file path=xl/drawings/_rels/drawing8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45.xml"/><Relationship Id="rId12" Type="http://schemas.openxmlformats.org/officeDocument/2006/relationships/chart" Target="../charts/chart46.xml"/><Relationship Id="rId1" Type="http://schemas.openxmlformats.org/officeDocument/2006/relationships/chart" Target="../charts/chart35.xml"/><Relationship Id="rId2" Type="http://schemas.openxmlformats.org/officeDocument/2006/relationships/chart" Target="../charts/chart36.xml"/><Relationship Id="rId3" Type="http://schemas.openxmlformats.org/officeDocument/2006/relationships/chart" Target="../charts/chart37.xml"/><Relationship Id="rId4" Type="http://schemas.openxmlformats.org/officeDocument/2006/relationships/chart" Target="../charts/chart38.xml"/><Relationship Id="rId5" Type="http://schemas.openxmlformats.org/officeDocument/2006/relationships/chart" Target="../charts/chart39.xml"/><Relationship Id="rId6" Type="http://schemas.openxmlformats.org/officeDocument/2006/relationships/chart" Target="../charts/chart40.xml"/><Relationship Id="rId7" Type="http://schemas.openxmlformats.org/officeDocument/2006/relationships/chart" Target="../charts/chart41.xml"/><Relationship Id="rId8" Type="http://schemas.openxmlformats.org/officeDocument/2006/relationships/chart" Target="../charts/chart42.xml"/><Relationship Id="rId9" Type="http://schemas.openxmlformats.org/officeDocument/2006/relationships/chart" Target="../charts/chart43.xml"/><Relationship Id="rId10" Type="http://schemas.openxmlformats.org/officeDocument/2006/relationships/chart" Target="../charts/chart44.xml"/></Relationships>
</file>

<file path=xl/drawings/_rels/drawing9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57.xml"/><Relationship Id="rId12" Type="http://schemas.openxmlformats.org/officeDocument/2006/relationships/chart" Target="../charts/chart58.xml"/><Relationship Id="rId1" Type="http://schemas.openxmlformats.org/officeDocument/2006/relationships/chart" Target="../charts/chart47.xml"/><Relationship Id="rId2" Type="http://schemas.openxmlformats.org/officeDocument/2006/relationships/chart" Target="../charts/chart48.xml"/><Relationship Id="rId3" Type="http://schemas.openxmlformats.org/officeDocument/2006/relationships/chart" Target="../charts/chart49.xml"/><Relationship Id="rId4" Type="http://schemas.openxmlformats.org/officeDocument/2006/relationships/chart" Target="../charts/chart50.xml"/><Relationship Id="rId5" Type="http://schemas.openxmlformats.org/officeDocument/2006/relationships/chart" Target="../charts/chart51.xml"/><Relationship Id="rId6" Type="http://schemas.openxmlformats.org/officeDocument/2006/relationships/chart" Target="../charts/chart52.xml"/><Relationship Id="rId7" Type="http://schemas.openxmlformats.org/officeDocument/2006/relationships/chart" Target="../charts/chart53.xml"/><Relationship Id="rId8" Type="http://schemas.openxmlformats.org/officeDocument/2006/relationships/chart" Target="../charts/chart54.xml"/><Relationship Id="rId9" Type="http://schemas.openxmlformats.org/officeDocument/2006/relationships/chart" Target="../charts/chart55.xml"/><Relationship Id="rId10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23</xdr:row>
      <xdr:rowOff>82550</xdr:rowOff>
    </xdr:from>
    <xdr:to>
      <xdr:col>8</xdr:col>
      <xdr:colOff>1066800</xdr:colOff>
      <xdr:row>54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812800</xdr:colOff>
      <xdr:row>23</xdr:row>
      <xdr:rowOff>25400</xdr:rowOff>
    </xdr:from>
    <xdr:to>
      <xdr:col>15</xdr:col>
      <xdr:colOff>508000</xdr:colOff>
      <xdr:row>53</xdr:row>
      <xdr:rowOff>177800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24</xdr:row>
      <xdr:rowOff>19050</xdr:rowOff>
    </xdr:from>
    <xdr:to>
      <xdr:col>9</xdr:col>
      <xdr:colOff>635000</xdr:colOff>
      <xdr:row>55</xdr:row>
      <xdr:rowOff>127000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139700</xdr:colOff>
      <xdr:row>23</xdr:row>
      <xdr:rowOff>171450</xdr:rowOff>
    </xdr:from>
    <xdr:to>
      <xdr:col>20</xdr:col>
      <xdr:colOff>685800</xdr:colOff>
      <xdr:row>55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177800</xdr:rowOff>
    </xdr:from>
    <xdr:to>
      <xdr:col>8</xdr:col>
      <xdr:colOff>76200</xdr:colOff>
      <xdr:row>47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279400</xdr:colOff>
      <xdr:row>17</xdr:row>
      <xdr:rowOff>165100</xdr:rowOff>
    </xdr:from>
    <xdr:to>
      <xdr:col>16</xdr:col>
      <xdr:colOff>927100</xdr:colOff>
      <xdr:row>47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15</xdr:row>
      <xdr:rowOff>152400</xdr:rowOff>
    </xdr:from>
    <xdr:to>
      <xdr:col>17</xdr:col>
      <xdr:colOff>508000</xdr:colOff>
      <xdr:row>44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50800</xdr:colOff>
      <xdr:row>15</xdr:row>
      <xdr:rowOff>139700</xdr:rowOff>
    </xdr:from>
    <xdr:to>
      <xdr:col>7</xdr:col>
      <xdr:colOff>139700</xdr:colOff>
      <xdr:row>44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1498600</xdr:colOff>
      <xdr:row>16</xdr:row>
      <xdr:rowOff>25400</xdr:rowOff>
    </xdr:from>
    <xdr:to>
      <xdr:col>16</xdr:col>
      <xdr:colOff>203200</xdr:colOff>
      <xdr:row>44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16</xdr:row>
      <xdr:rowOff>0</xdr:rowOff>
    </xdr:from>
    <xdr:to>
      <xdr:col>6</xdr:col>
      <xdr:colOff>1473200</xdr:colOff>
      <xdr:row>44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111</xdr:row>
      <xdr:rowOff>57150</xdr:rowOff>
    </xdr:from>
    <xdr:to>
      <xdr:col>12</xdr:col>
      <xdr:colOff>673100</xdr:colOff>
      <xdr:row>125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495300</xdr:colOff>
      <xdr:row>111</xdr:row>
      <xdr:rowOff>19050</xdr:rowOff>
    </xdr:from>
    <xdr:to>
      <xdr:col>20</xdr:col>
      <xdr:colOff>114300</xdr:colOff>
      <xdr:row>125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110</xdr:row>
      <xdr:rowOff>158750</xdr:rowOff>
    </xdr:from>
    <xdr:to>
      <xdr:col>5</xdr:col>
      <xdr:colOff>419100</xdr:colOff>
      <xdr:row>125</xdr:row>
      <xdr:rowOff>44450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111</xdr:row>
      <xdr:rowOff>6350</xdr:rowOff>
    </xdr:from>
    <xdr:to>
      <xdr:col>26</xdr:col>
      <xdr:colOff>469900</xdr:colOff>
      <xdr:row>125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419100</xdr:colOff>
      <xdr:row>110</xdr:row>
      <xdr:rowOff>82550</xdr:rowOff>
    </xdr:from>
    <xdr:to>
      <xdr:col>34</xdr:col>
      <xdr:colOff>38100</xdr:colOff>
      <xdr:row>124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76200</xdr:colOff>
      <xdr:row>110</xdr:row>
      <xdr:rowOff>6350</xdr:rowOff>
    </xdr:from>
    <xdr:to>
      <xdr:col>40</xdr:col>
      <xdr:colOff>520700</xdr:colOff>
      <xdr:row>124</xdr:row>
      <xdr:rowOff>82550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342900</xdr:colOff>
      <xdr:row>126</xdr:row>
      <xdr:rowOff>146050</xdr:rowOff>
    </xdr:from>
    <xdr:to>
      <xdr:col>40</xdr:col>
      <xdr:colOff>787400</xdr:colOff>
      <xdr:row>141</xdr:row>
      <xdr:rowOff>31750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508000</xdr:colOff>
      <xdr:row>126</xdr:row>
      <xdr:rowOff>31750</xdr:rowOff>
    </xdr:from>
    <xdr:to>
      <xdr:col>34</xdr:col>
      <xdr:colOff>127000</xdr:colOff>
      <xdr:row>140</xdr:row>
      <xdr:rowOff>107950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12700</xdr:colOff>
      <xdr:row>126</xdr:row>
      <xdr:rowOff>120650</xdr:rowOff>
    </xdr:from>
    <xdr:to>
      <xdr:col>26</xdr:col>
      <xdr:colOff>457200</xdr:colOff>
      <xdr:row>141</xdr:row>
      <xdr:rowOff>6350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635000</xdr:colOff>
      <xdr:row>126</xdr:row>
      <xdr:rowOff>95250</xdr:rowOff>
    </xdr:from>
    <xdr:to>
      <xdr:col>20</xdr:col>
      <xdr:colOff>254000</xdr:colOff>
      <xdr:row>140</xdr:row>
      <xdr:rowOff>171450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355600</xdr:colOff>
      <xdr:row>125</xdr:row>
      <xdr:rowOff>158750</xdr:rowOff>
    </xdr:from>
    <xdr:to>
      <xdr:col>12</xdr:col>
      <xdr:colOff>800100</xdr:colOff>
      <xdr:row>140</xdr:row>
      <xdr:rowOff>44450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126</xdr:row>
      <xdr:rowOff>31750</xdr:rowOff>
    </xdr:from>
    <xdr:to>
      <xdr:col>5</xdr:col>
      <xdr:colOff>431800</xdr:colOff>
      <xdr:row>140</xdr:row>
      <xdr:rowOff>107950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254000</xdr:colOff>
      <xdr:row>113</xdr:row>
      <xdr:rowOff>44450</xdr:rowOff>
    </xdr:from>
    <xdr:to>
      <xdr:col>40</xdr:col>
      <xdr:colOff>698500</xdr:colOff>
      <xdr:row>127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292100</xdr:colOff>
      <xdr:row>129</xdr:row>
      <xdr:rowOff>69850</xdr:rowOff>
    </xdr:from>
    <xdr:to>
      <xdr:col>40</xdr:col>
      <xdr:colOff>736600</xdr:colOff>
      <xdr:row>143</xdr:row>
      <xdr:rowOff>146050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215900</xdr:colOff>
      <xdr:row>113</xdr:row>
      <xdr:rowOff>120650</xdr:rowOff>
    </xdr:from>
    <xdr:to>
      <xdr:col>33</xdr:col>
      <xdr:colOff>660400</xdr:colOff>
      <xdr:row>128</xdr:row>
      <xdr:rowOff>6350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292100</xdr:colOff>
      <xdr:row>129</xdr:row>
      <xdr:rowOff>184150</xdr:rowOff>
    </xdr:from>
    <xdr:to>
      <xdr:col>33</xdr:col>
      <xdr:colOff>736600</xdr:colOff>
      <xdr:row>144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88900</xdr:colOff>
      <xdr:row>113</xdr:row>
      <xdr:rowOff>95250</xdr:rowOff>
    </xdr:from>
    <xdr:to>
      <xdr:col>26</xdr:col>
      <xdr:colOff>533400</xdr:colOff>
      <xdr:row>127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406400</xdr:colOff>
      <xdr:row>129</xdr:row>
      <xdr:rowOff>133350</xdr:rowOff>
    </xdr:from>
    <xdr:to>
      <xdr:col>27</xdr:col>
      <xdr:colOff>25400</xdr:colOff>
      <xdr:row>144</xdr:row>
      <xdr:rowOff>19050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330200</xdr:colOff>
      <xdr:row>113</xdr:row>
      <xdr:rowOff>95250</xdr:rowOff>
    </xdr:from>
    <xdr:to>
      <xdr:col>19</xdr:col>
      <xdr:colOff>774700</xdr:colOff>
      <xdr:row>127</xdr:row>
      <xdr:rowOff>171450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482600</xdr:colOff>
      <xdr:row>130</xdr:row>
      <xdr:rowOff>57150</xdr:rowOff>
    </xdr:from>
    <xdr:to>
      <xdr:col>20</xdr:col>
      <xdr:colOff>101600</xdr:colOff>
      <xdr:row>144</xdr:row>
      <xdr:rowOff>133350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520700</xdr:colOff>
      <xdr:row>113</xdr:row>
      <xdr:rowOff>146050</xdr:rowOff>
    </xdr:from>
    <xdr:to>
      <xdr:col>13</xdr:col>
      <xdr:colOff>139700</xdr:colOff>
      <xdr:row>128</xdr:row>
      <xdr:rowOff>31750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469900</xdr:colOff>
      <xdr:row>130</xdr:row>
      <xdr:rowOff>95250</xdr:rowOff>
    </xdr:from>
    <xdr:to>
      <xdr:col>13</xdr:col>
      <xdr:colOff>88900</xdr:colOff>
      <xdr:row>144</xdr:row>
      <xdr:rowOff>171450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113</xdr:row>
      <xdr:rowOff>120650</xdr:rowOff>
    </xdr:from>
    <xdr:to>
      <xdr:col>5</xdr:col>
      <xdr:colOff>444500</xdr:colOff>
      <xdr:row>128</xdr:row>
      <xdr:rowOff>6350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38100</xdr:colOff>
      <xdr:row>130</xdr:row>
      <xdr:rowOff>69850</xdr:rowOff>
    </xdr:from>
    <xdr:to>
      <xdr:col>5</xdr:col>
      <xdr:colOff>482600</xdr:colOff>
      <xdr:row>144</xdr:row>
      <xdr:rowOff>146050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117</xdr:row>
      <xdr:rowOff>6350</xdr:rowOff>
    </xdr:from>
    <xdr:to>
      <xdr:col>5</xdr:col>
      <xdr:colOff>596900</xdr:colOff>
      <xdr:row>131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533400</xdr:colOff>
      <xdr:row>117</xdr:row>
      <xdr:rowOff>57150</xdr:rowOff>
    </xdr:from>
    <xdr:to>
      <xdr:col>13</xdr:col>
      <xdr:colOff>152400</xdr:colOff>
      <xdr:row>131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571500</xdr:colOff>
      <xdr:row>116</xdr:row>
      <xdr:rowOff>95250</xdr:rowOff>
    </xdr:from>
    <xdr:to>
      <xdr:col>20</xdr:col>
      <xdr:colOff>190500</xdr:colOff>
      <xdr:row>130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203200</xdr:colOff>
      <xdr:row>116</xdr:row>
      <xdr:rowOff>133350</xdr:rowOff>
    </xdr:from>
    <xdr:to>
      <xdr:col>26</xdr:col>
      <xdr:colOff>647700</xdr:colOff>
      <xdr:row>131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457200</xdr:colOff>
      <xdr:row>116</xdr:row>
      <xdr:rowOff>82550</xdr:rowOff>
    </xdr:from>
    <xdr:to>
      <xdr:col>34</xdr:col>
      <xdr:colOff>76200</xdr:colOff>
      <xdr:row>130</xdr:row>
      <xdr:rowOff>158750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304800</xdr:colOff>
      <xdr:row>116</xdr:row>
      <xdr:rowOff>120650</xdr:rowOff>
    </xdr:from>
    <xdr:to>
      <xdr:col>40</xdr:col>
      <xdr:colOff>749300</xdr:colOff>
      <xdr:row>131</xdr:row>
      <xdr:rowOff>6350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444500</xdr:colOff>
      <xdr:row>132</xdr:row>
      <xdr:rowOff>44450</xdr:rowOff>
    </xdr:from>
    <xdr:to>
      <xdr:col>41</xdr:col>
      <xdr:colOff>63500</xdr:colOff>
      <xdr:row>146</xdr:row>
      <xdr:rowOff>120650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647700</xdr:colOff>
      <xdr:row>132</xdr:row>
      <xdr:rowOff>31750</xdr:rowOff>
    </xdr:from>
    <xdr:to>
      <xdr:col>34</xdr:col>
      <xdr:colOff>266700</xdr:colOff>
      <xdr:row>146</xdr:row>
      <xdr:rowOff>107950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508000</xdr:colOff>
      <xdr:row>133</xdr:row>
      <xdr:rowOff>69850</xdr:rowOff>
    </xdr:from>
    <xdr:to>
      <xdr:col>27</xdr:col>
      <xdr:colOff>127000</xdr:colOff>
      <xdr:row>147</xdr:row>
      <xdr:rowOff>146050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558800</xdr:colOff>
      <xdr:row>133</xdr:row>
      <xdr:rowOff>133350</xdr:rowOff>
    </xdr:from>
    <xdr:to>
      <xdr:col>20</xdr:col>
      <xdr:colOff>177800</xdr:colOff>
      <xdr:row>148</xdr:row>
      <xdr:rowOff>19050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520700</xdr:colOff>
      <xdr:row>133</xdr:row>
      <xdr:rowOff>107950</xdr:rowOff>
    </xdr:from>
    <xdr:to>
      <xdr:col>13</xdr:col>
      <xdr:colOff>139700</xdr:colOff>
      <xdr:row>147</xdr:row>
      <xdr:rowOff>184150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215900</xdr:colOff>
      <xdr:row>133</xdr:row>
      <xdr:rowOff>69850</xdr:rowOff>
    </xdr:from>
    <xdr:to>
      <xdr:col>5</xdr:col>
      <xdr:colOff>660400</xdr:colOff>
      <xdr:row>147</xdr:row>
      <xdr:rowOff>146050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116</xdr:row>
      <xdr:rowOff>95250</xdr:rowOff>
    </xdr:from>
    <xdr:to>
      <xdr:col>5</xdr:col>
      <xdr:colOff>774700</xdr:colOff>
      <xdr:row>131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304800</xdr:colOff>
      <xdr:row>132</xdr:row>
      <xdr:rowOff>69850</xdr:rowOff>
    </xdr:from>
    <xdr:to>
      <xdr:col>5</xdr:col>
      <xdr:colOff>749300</xdr:colOff>
      <xdr:row>146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609600</xdr:colOff>
      <xdr:row>116</xdr:row>
      <xdr:rowOff>107950</xdr:rowOff>
    </xdr:from>
    <xdr:to>
      <xdr:col>13</xdr:col>
      <xdr:colOff>228600</xdr:colOff>
      <xdr:row>130</xdr:row>
      <xdr:rowOff>184150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698500</xdr:colOff>
      <xdr:row>132</xdr:row>
      <xdr:rowOff>171450</xdr:rowOff>
    </xdr:from>
    <xdr:to>
      <xdr:col>13</xdr:col>
      <xdr:colOff>317500</xdr:colOff>
      <xdr:row>147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355600</xdr:colOff>
      <xdr:row>117</xdr:row>
      <xdr:rowOff>19050</xdr:rowOff>
    </xdr:from>
    <xdr:to>
      <xdr:col>19</xdr:col>
      <xdr:colOff>800100</xdr:colOff>
      <xdr:row>131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304800</xdr:colOff>
      <xdr:row>116</xdr:row>
      <xdr:rowOff>146050</xdr:rowOff>
    </xdr:from>
    <xdr:to>
      <xdr:col>26</xdr:col>
      <xdr:colOff>749300</xdr:colOff>
      <xdr:row>131</xdr:row>
      <xdr:rowOff>31750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393700</xdr:colOff>
      <xdr:row>133</xdr:row>
      <xdr:rowOff>57150</xdr:rowOff>
    </xdr:from>
    <xdr:to>
      <xdr:col>20</xdr:col>
      <xdr:colOff>12700</xdr:colOff>
      <xdr:row>147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355600</xdr:colOff>
      <xdr:row>133</xdr:row>
      <xdr:rowOff>31750</xdr:rowOff>
    </xdr:from>
    <xdr:to>
      <xdr:col>26</xdr:col>
      <xdr:colOff>800100</xdr:colOff>
      <xdr:row>147</xdr:row>
      <xdr:rowOff>107950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469900</xdr:colOff>
      <xdr:row>116</xdr:row>
      <xdr:rowOff>146050</xdr:rowOff>
    </xdr:from>
    <xdr:to>
      <xdr:col>34</xdr:col>
      <xdr:colOff>88900</xdr:colOff>
      <xdr:row>131</xdr:row>
      <xdr:rowOff>31750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508000</xdr:colOff>
      <xdr:row>134</xdr:row>
      <xdr:rowOff>31750</xdr:rowOff>
    </xdr:from>
    <xdr:to>
      <xdr:col>34</xdr:col>
      <xdr:colOff>127000</xdr:colOff>
      <xdr:row>148</xdr:row>
      <xdr:rowOff>107950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35</xdr:col>
      <xdr:colOff>635000</xdr:colOff>
      <xdr:row>116</xdr:row>
      <xdr:rowOff>171450</xdr:rowOff>
    </xdr:from>
    <xdr:to>
      <xdr:col>41</xdr:col>
      <xdr:colOff>254000</xdr:colOff>
      <xdr:row>131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35</xdr:col>
      <xdr:colOff>431800</xdr:colOff>
      <xdr:row>133</xdr:row>
      <xdr:rowOff>31750</xdr:rowOff>
    </xdr:from>
    <xdr:to>
      <xdr:col>41</xdr:col>
      <xdr:colOff>50800</xdr:colOff>
      <xdr:row>147</xdr:row>
      <xdr:rowOff>107950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 Phillips" refreshedDate="41504.716267708332" missingItemsLimit="0" createdVersion="4" refreshedVersion="4" minRefreshableVersion="3" recordCount="60">
  <cacheSource type="worksheet">
    <worksheetSource name="SummaryDecryption"/>
  </cacheSource>
  <cacheFields count="11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MB/s)" numFmtId="166">
      <sharedItems containsSemiMixedTypes="0" containsString="0" containsNumber="1" minValue="4.8674063034508137" maxValue="15.396686386742589"/>
    </cacheField>
    <cacheField name="Average (ms)" numFmtId="164">
      <sharedItems containsSemiMixedTypes="0" containsString="0" containsNumber="1" minValue="64.949040000000011" maxValue="45469.721000000034"/>
    </cacheField>
    <cacheField name="Min (ms)" numFmtId="164">
      <sharedItems containsSemiMixedTypes="0" containsString="0" containsNumber="1" minValue="63.256999999999998" maxValue="39002"/>
    </cacheField>
    <cacheField name="Max (ms)" numFmtId="164">
      <sharedItems containsSemiMixedTypes="0" containsString="0" containsNumber="1" minValue="90.796000000000006" maxValue="96371.199999999997"/>
    </cacheField>
    <cacheField name="Median (ms)" numFmtId="164">
      <sharedItems containsSemiMixedTypes="0" containsString="0" containsNumber="1" minValue="64.066000000000003" maxValue="43647.1"/>
    </cacheField>
    <cacheField name="Plain size (B)" numFmtId="0">
      <sharedItems containsSemiMixedTypes="0" containsString="0" containsNumber="1" containsInteger="1" minValue="1048576" maxValue="268435456"/>
    </cacheField>
    <cacheField name="Size %" numFmtId="164">
      <sharedItems containsSemiMixedTypes="0" containsString="0" containsNumber="1" minValue="1.048576" maxValue="1.0485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ff Phillips" refreshedDate="41504.716272916667" missingItemsLimit="0" createdVersion="4" refreshedVersion="4" minRefreshableVersion="3" recordCount="60">
  <cacheSource type="worksheet">
    <worksheetSource name="SummaryEncryption"/>
  </cacheSource>
  <cacheFields count="11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MB/s)" numFmtId="166">
      <sharedItems containsSemiMixedTypes="0" containsString="0" containsNumber="1" minValue="7.2061540781019309" maxValue="8.5731522649282343"/>
    </cacheField>
    <cacheField name="Average (ms)" numFmtId="164">
      <sharedItems containsSemiMixedTypes="0" containsString="0" containsNumber="1" minValue="116.64321000000004" maxValue="35525.190999999999"/>
    </cacheField>
    <cacheField name="Min (ms)" numFmtId="164">
      <sharedItems containsSemiMixedTypes="0" containsString="0" containsNumber="1" minValue="113.931" maxValue="30847.200000000001"/>
    </cacheField>
    <cacheField name="Max (ms)" numFmtId="164">
      <sharedItems containsSemiMixedTypes="0" containsString="0" containsNumber="1" minValue="138.54400000000001" maxValue="187626"/>
    </cacheField>
    <cacheField name="Median (ms)" numFmtId="164">
      <sharedItems containsSemiMixedTypes="0" containsString="0" containsNumber="1" minValue="115.33500000000001" maxValue="33129.35"/>
    </cacheField>
    <cacheField name="Cipher size (B)" numFmtId="0">
      <sharedItems containsSemiMixedTypes="0" containsString="0" containsNumber="1" containsInteger="1" minValue="2097152" maxValue="536870944"/>
    </cacheField>
    <cacheField name="Size %" numFmtId="164">
      <sharedItems containsSemiMixedTypes="0" containsString="0" containsNumber="1" minValue="2.0971519999999999" maxValue="2.0971840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15.0378133335178"/>
    <n v="66.499029999999991"/>
    <n v="63.61"/>
    <n v="99.171000000000006"/>
    <n v="64.9435"/>
    <n v="1048576"/>
    <n v="1.048576"/>
  </r>
  <r>
    <x v="1"/>
    <x v="0"/>
    <s v="CBC_16B"/>
    <x v="0"/>
    <n v="15.396686386742589"/>
    <n v="64.949040000000011"/>
    <n v="63.256999999999998"/>
    <n v="90.796000000000006"/>
    <n v="64.066000000000003"/>
    <n v="1048576"/>
    <n v="1.048576"/>
  </r>
  <r>
    <x v="2"/>
    <x v="0"/>
    <s v="CFB_16B"/>
    <x v="0"/>
    <n v="6.5993223419859897"/>
    <n v="151.53071000000003"/>
    <n v="144.74"/>
    <n v="228.22"/>
    <n v="151.779"/>
    <n v="1048576"/>
    <n v="1.048576"/>
  </r>
  <r>
    <x v="3"/>
    <x v="0"/>
    <s v="OFB_16B"/>
    <x v="0"/>
    <n v="6.9932158114091916"/>
    <n v="142.99573000000004"/>
    <n v="138.886"/>
    <n v="211.75700000000001"/>
    <n v="140.91800000000001"/>
    <n v="1048576"/>
    <n v="1.048576"/>
  </r>
  <r>
    <x v="4"/>
    <x v="0"/>
    <s v="CTR_16B"/>
    <x v="0"/>
    <n v="6.8013251974067623"/>
    <n v="147.03017000000003"/>
    <n v="144.33600000000001"/>
    <n v="173.04900000000001"/>
    <n v="145.4205"/>
    <n v="1048576"/>
    <n v="1.048576"/>
  </r>
  <r>
    <x v="0"/>
    <x v="0"/>
    <s v="ECB_16B"/>
    <x v="1"/>
    <n v="14.272329694926382"/>
    <n v="350.32823000000002"/>
    <n v="63.61"/>
    <n v="99.171000000000006"/>
    <n v="64.9435"/>
    <n v="5242880"/>
    <n v="1.048576"/>
  </r>
  <r>
    <x v="1"/>
    <x v="0"/>
    <s v="CBC_16B"/>
    <x v="1"/>
    <n v="13.468276484860647"/>
    <n v="371.24275"/>
    <n v="316.416"/>
    <n v="452.41500000000002"/>
    <n v="361.887"/>
    <n v="5242880"/>
    <n v="1.048576"/>
  </r>
  <r>
    <x v="2"/>
    <x v="0"/>
    <s v="CFB_16B"/>
    <x v="1"/>
    <n v="4.8674063034508137"/>
    <n v="1027.2411400000001"/>
    <n v="939.601"/>
    <n v="1218.31"/>
    <n v="1011.89"/>
    <n v="5242880"/>
    <n v="1.048576"/>
  </r>
  <r>
    <x v="3"/>
    <x v="0"/>
    <s v="OFB_16B"/>
    <x v="1"/>
    <n v="6.4178469129925304"/>
    <n v="779.07748000000004"/>
    <n v="705.91200000000003"/>
    <n v="972.08799999999997"/>
    <n v="771.86400000000003"/>
    <n v="5242880"/>
    <n v="1.048576"/>
  </r>
  <r>
    <x v="4"/>
    <x v="0"/>
    <s v="CTR_16B"/>
    <x v="1"/>
    <n v="6.377446329420585"/>
    <n v="784.01287000000025"/>
    <n v="716.91700000000003"/>
    <n v="957.846"/>
    <n v="768.05"/>
    <n v="5242880"/>
    <n v="1.048576"/>
  </r>
  <r>
    <x v="0"/>
    <x v="0"/>
    <s v="ECB_16B"/>
    <x v="2"/>
    <n v="13.656387749422654"/>
    <n v="732.25806000000011"/>
    <n v="623.67899999999997"/>
    <n v="921.03200000000004"/>
    <n v="729.69399999999996"/>
    <n v="10485760"/>
    <n v="1.048576"/>
  </r>
  <r>
    <x v="1"/>
    <x v="0"/>
    <s v="CBC_16B"/>
    <x v="2"/>
    <n v="14.015001713894565"/>
    <n v="713.52113999999972"/>
    <n v="626.50599999999997"/>
    <n v="961.84100000000001"/>
    <n v="711.55549999999994"/>
    <n v="10485760"/>
    <n v="1.048576"/>
  </r>
  <r>
    <x v="2"/>
    <x v="0"/>
    <s v="CFB_16B"/>
    <x v="2"/>
    <n v="6.1789643091899391"/>
    <n v="1618.3941999999993"/>
    <n v="1453.66"/>
    <n v="1872.27"/>
    <n v="1592.42"/>
    <n v="10485760"/>
    <n v="1.048576"/>
  </r>
  <r>
    <x v="3"/>
    <x v="0"/>
    <s v="OFB_16B"/>
    <x v="2"/>
    <n v="6.4538367704639397"/>
    <n v="1549.4658999999997"/>
    <n v="1363.03"/>
    <n v="1814.28"/>
    <n v="1533.3600000000001"/>
    <n v="10485760"/>
    <n v="1.048576"/>
  </r>
  <r>
    <x v="4"/>
    <x v="0"/>
    <s v="CTR_16B"/>
    <x v="2"/>
    <n v="6.4894606940179722"/>
    <n v="1540.9600999999993"/>
    <n v="1389.71"/>
    <n v="1834.94"/>
    <n v="1537.71"/>
    <n v="10485760"/>
    <n v="1.048576"/>
  </r>
  <r>
    <x v="0"/>
    <x v="0"/>
    <s v="ECB_16B"/>
    <x v="3"/>
    <n v="12.420113442211157"/>
    <n v="20611.727999999992"/>
    <n v="17906.099999999999"/>
    <n v="39386.5"/>
    <n v="19718.650000000001"/>
    <n v="268435456"/>
    <n v="1.048576"/>
  </r>
  <r>
    <x v="1"/>
    <x v="0"/>
    <s v="CBC_16B"/>
    <x v="3"/>
    <n v="12.452524749392941"/>
    <n v="20558.079999999998"/>
    <n v="17678.099999999999"/>
    <n v="71460.600000000006"/>
    <n v="19202.650000000001"/>
    <n v="268435456"/>
    <n v="1.048576"/>
  </r>
  <r>
    <x v="2"/>
    <x v="0"/>
    <s v="CFB_16B"/>
    <x v="3"/>
    <n v="6.2237951784015664"/>
    <n v="41132.458999999981"/>
    <n v="39002"/>
    <n v="57089"/>
    <n v="40251.800000000003"/>
    <n v="268435456"/>
    <n v="1.048576"/>
  </r>
  <r>
    <x v="3"/>
    <x v="0"/>
    <s v="OFB_16B"/>
    <x v="3"/>
    <n v="6.3693922042321711"/>
    <n v="40192.218000000008"/>
    <n v="37372.5"/>
    <n v="84828.4"/>
    <n v="38461.199999999997"/>
    <n v="268435456"/>
    <n v="1.048576"/>
  </r>
  <r>
    <x v="4"/>
    <x v="0"/>
    <s v="CTR_16B"/>
    <x v="3"/>
    <n v="6.3782333220534948"/>
    <n v="40136.505999999994"/>
    <n v="37443.199999999997"/>
    <n v="60407.4"/>
    <n v="38712.699999999997"/>
    <n v="268435456"/>
    <n v="1.048576"/>
  </r>
  <r>
    <x v="0"/>
    <x v="1"/>
    <s v="ECB_24B"/>
    <x v="0"/>
    <n v="15.298089391019781"/>
    <n v="65.36763999999998"/>
    <n v="63.582999999999998"/>
    <n v="91.540999999999997"/>
    <n v="64.298500000000004"/>
    <n v="1048576"/>
    <n v="1.048576"/>
  </r>
  <r>
    <x v="1"/>
    <x v="1"/>
    <s v="CBC_24B"/>
    <x v="0"/>
    <n v="15.334142464917397"/>
    <n v="65.213950000000011"/>
    <n v="63.917000000000002"/>
    <n v="92.831000000000003"/>
    <n v="64.37"/>
    <n v="1048576"/>
    <n v="1.048576"/>
  </r>
  <r>
    <x v="2"/>
    <x v="1"/>
    <s v="CFB_24B"/>
    <x v="0"/>
    <n v="5.243077185069458"/>
    <n v="190.72768999999997"/>
    <n v="186.77099999999999"/>
    <n v="217.685"/>
    <n v="187.98050000000001"/>
    <n v="1048576"/>
    <n v="1.048576"/>
  </r>
  <r>
    <x v="3"/>
    <x v="1"/>
    <s v="OFB_24B"/>
    <x v="0"/>
    <n v="7.041596966592695"/>
    <n v="142.01323999999994"/>
    <n v="138.87700000000001"/>
    <n v="175.601"/>
    <n v="140.697"/>
    <n v="1048576"/>
    <n v="1.048576"/>
  </r>
  <r>
    <x v="4"/>
    <x v="1"/>
    <s v="CTR_24B"/>
    <x v="0"/>
    <n v="7.064541153460131"/>
    <n v="141.55201"/>
    <n v="139.572"/>
    <n v="164.38499999999999"/>
    <n v="140.42449999999999"/>
    <n v="1048576"/>
    <n v="1.048576"/>
  </r>
  <r>
    <x v="0"/>
    <x v="1"/>
    <s v="ECB_24B"/>
    <x v="1"/>
    <n v="14.030893220693326"/>
    <n v="356.35649999999993"/>
    <n v="320.31299999999999"/>
    <n v="469.678"/>
    <n v="344.21800000000002"/>
    <n v="5242880"/>
    <n v="1.048576"/>
  </r>
  <r>
    <x v="1"/>
    <x v="1"/>
    <s v="CBC_24B"/>
    <x v="1"/>
    <n v="14.081942938615347"/>
    <n v="355.06464"/>
    <n v="326.17399999999998"/>
    <n v="538.86300000000006"/>
    <n v="346.00799999999998"/>
    <n v="5242880"/>
    <n v="1.048576"/>
  </r>
  <r>
    <x v="2"/>
    <x v="1"/>
    <s v="CFB_24B"/>
    <x v="1"/>
    <n v="6.2846106865304945"/>
    <n v="795.59422999999992"/>
    <n v="730.33600000000001"/>
    <n v="1150.8499999999999"/>
    <n v="779.39750000000004"/>
    <n v="5242880"/>
    <n v="1.048576"/>
  </r>
  <r>
    <x v="3"/>
    <x v="1"/>
    <s v="OFB_24B"/>
    <x v="1"/>
    <n v="6.6333574831768116"/>
    <n v="753.76609999999982"/>
    <n v="687.13599999999997"/>
    <n v="1381.15"/>
    <n v="733.75299999999993"/>
    <n v="5242880"/>
    <n v="1.048576"/>
  </r>
  <r>
    <x v="4"/>
    <x v="1"/>
    <s v="CTR_24B"/>
    <x v="1"/>
    <n v="6.5378578779271876"/>
    <n v="764.77648999999951"/>
    <n v="698.52"/>
    <n v="966.98699999999997"/>
    <n v="751.2"/>
    <n v="5242880"/>
    <n v="1.048576"/>
  </r>
  <r>
    <x v="0"/>
    <x v="1"/>
    <s v="ECB_24B"/>
    <x v="2"/>
    <n v="13.958281710954806"/>
    <n v="716.42056000000002"/>
    <n v="641.78"/>
    <n v="874.65099999999995"/>
    <n v="702.2405"/>
    <n v="10485760"/>
    <n v="1.048576"/>
  </r>
  <r>
    <x v="1"/>
    <x v="1"/>
    <s v="CBC_24B"/>
    <x v="2"/>
    <n v="14.017849404253313"/>
    <n v="713.37619000000007"/>
    <n v="642.07000000000005"/>
    <n v="910.12099999999998"/>
    <n v="705.43949999999995"/>
    <n v="10485760"/>
    <n v="1.048576"/>
  </r>
  <r>
    <x v="2"/>
    <x v="1"/>
    <s v="CFB_24B"/>
    <x v="2"/>
    <n v="4.8946571879998677"/>
    <n v="2043.0439999999996"/>
    <n v="1873.78"/>
    <n v="2434.65"/>
    <n v="2020.48"/>
    <n v="10485760"/>
    <n v="1.048576"/>
  </r>
  <r>
    <x v="3"/>
    <x v="1"/>
    <s v="OFB_24B"/>
    <x v="2"/>
    <n v="6.6559647627900702"/>
    <n v="1502.4117999999996"/>
    <n v="1376.31"/>
    <n v="1733.52"/>
    <n v="1473.9099999999999"/>
    <n v="10485760"/>
    <n v="1.048576"/>
  </r>
  <r>
    <x v="4"/>
    <x v="1"/>
    <s v="CTR_24B"/>
    <x v="2"/>
    <n v="6.5011347730746376"/>
    <n v="1538.1930000000007"/>
    <n v="1396.6"/>
    <n v="1809.69"/>
    <n v="1520.94"/>
    <n v="10485760"/>
    <n v="1.048576"/>
  </r>
  <r>
    <x v="0"/>
    <x v="1"/>
    <s v="ECB_24B"/>
    <x v="3"/>
    <n v="12.024838619385058"/>
    <n v="21289.267000000011"/>
    <n v="17306.3"/>
    <n v="78748.899999999994"/>
    <n v="20025.449999999997"/>
    <n v="268435456"/>
    <n v="1.048576"/>
  </r>
  <r>
    <x v="1"/>
    <x v="1"/>
    <s v="CBC_24B"/>
    <x v="3"/>
    <n v="12.092160019710226"/>
    <n v="21170.741999999991"/>
    <n v="17021.900000000001"/>
    <n v="43876.5"/>
    <n v="19691.7"/>
    <n v="268435456"/>
    <n v="1.048576"/>
  </r>
  <r>
    <x v="2"/>
    <x v="1"/>
    <s v="CFB_24B"/>
    <x v="3"/>
    <n v="5.6301203167707978"/>
    <n v="45469.721000000034"/>
    <n v="38894.1"/>
    <n v="96371.199999999997"/>
    <n v="43647.1"/>
    <n v="268435456"/>
    <n v="1.048576"/>
  </r>
  <r>
    <x v="3"/>
    <x v="1"/>
    <s v="OFB_24B"/>
    <x v="3"/>
    <n v="6.0568285726345286"/>
    <n v="42266.344000000005"/>
    <n v="36379.5"/>
    <n v="63659.7"/>
    <n v="40055.65"/>
    <n v="268435456"/>
    <n v="1.048576"/>
  </r>
  <r>
    <x v="4"/>
    <x v="1"/>
    <s v="CTR_24B"/>
    <x v="3"/>
    <n v="5.9060070967134966"/>
    <n v="43345.697999999997"/>
    <n v="36682.1"/>
    <n v="73567.399999999994"/>
    <n v="40513.199999999997"/>
    <n v="268435456"/>
    <n v="1.048576"/>
  </r>
  <r>
    <x v="0"/>
    <x v="2"/>
    <s v="ECB_32B"/>
    <x v="0"/>
    <n v="14.940588004769634"/>
    <n v="66.93177"/>
    <n v="64.852000000000004"/>
    <n v="113.285"/>
    <n v="65.754500000000007"/>
    <n v="1048576"/>
    <n v="1.048576"/>
  </r>
  <r>
    <x v="1"/>
    <x v="2"/>
    <s v="CBC_32B"/>
    <x v="0"/>
    <n v="14.744549935146104"/>
    <n v="67.821669999999969"/>
    <n v="65.936999999999998"/>
    <n v="102.129"/>
    <n v="66.4285"/>
    <n v="1048576"/>
    <n v="1.048576"/>
  </r>
  <r>
    <x v="2"/>
    <x v="2"/>
    <s v="CFB_32B"/>
    <x v="0"/>
    <n v="6.6279057898866407"/>
    <n v="150.87721999999994"/>
    <n v="147.58600000000001"/>
    <n v="184.19300000000001"/>
    <n v="148.32400000000001"/>
    <n v="1048576"/>
    <n v="1.048576"/>
  </r>
  <r>
    <x v="3"/>
    <x v="2"/>
    <s v="OFB_32B"/>
    <x v="0"/>
    <n v="7.0234119819689358"/>
    <n v="142.38093999999998"/>
    <n v="139.316"/>
    <n v="174.239"/>
    <n v="140.596"/>
    <n v="1048576"/>
    <n v="1.048576"/>
  </r>
  <r>
    <x v="4"/>
    <x v="2"/>
    <s v="CTR_32B"/>
    <x v="0"/>
    <n v="6.8736104566861158"/>
    <n v="145.48394999999999"/>
    <n v="141.429"/>
    <n v="224.48599999999999"/>
    <n v="142.35599999999999"/>
    <n v="1048576"/>
    <n v="1.048576"/>
  </r>
  <r>
    <x v="0"/>
    <x v="2"/>
    <s v="ECB_32B"/>
    <x v="1"/>
    <n v="13.821493749644096"/>
    <n v="361.75540000000001"/>
    <n v="64.852000000000004"/>
    <n v="113.285"/>
    <n v="65.754500000000007"/>
    <n v="5242880"/>
    <n v="1.048576"/>
  </r>
  <r>
    <x v="1"/>
    <x v="2"/>
    <s v="CBC_32B"/>
    <x v="1"/>
    <n v="14.042760092138483"/>
    <n v="356.05535999999995"/>
    <n v="326.92599999999999"/>
    <n v="469.15800000000002"/>
    <n v="344.70799999999997"/>
    <n v="5242880"/>
    <n v="1.048576"/>
  </r>
  <r>
    <x v="2"/>
    <x v="2"/>
    <s v="CFB_32B"/>
    <x v="1"/>
    <n v="6.288230080805012"/>
    <n v="795.13630000000023"/>
    <n v="735.66"/>
    <n v="1070.53"/>
    <n v="771.58899999999994"/>
    <n v="5242880"/>
    <n v="1.048576"/>
  </r>
  <r>
    <x v="3"/>
    <x v="2"/>
    <s v="OFB_32B"/>
    <x v="1"/>
    <n v="6.6336002039540194"/>
    <n v="753.73851999999988"/>
    <n v="694.51099999999997"/>
    <n v="1072.6600000000001"/>
    <n v="730.149"/>
    <n v="5242880"/>
    <n v="1.048576"/>
  </r>
  <r>
    <x v="4"/>
    <x v="2"/>
    <s v="CTR_32B"/>
    <x v="1"/>
    <n v="6.4865248025638076"/>
    <n v="770.82877999999994"/>
    <n v="707.04"/>
    <n v="1093.83"/>
    <n v="741.85300000000007"/>
    <n v="5242880"/>
    <n v="1.048576"/>
  </r>
  <r>
    <x v="0"/>
    <x v="2"/>
    <s v="ECB_32B"/>
    <x v="2"/>
    <n v="13.480331131932353"/>
    <n v="741.82153999999991"/>
    <n v="658.14"/>
    <n v="973.351"/>
    <n v="739.97149999999999"/>
    <n v="10485760"/>
    <n v="1.048576"/>
  </r>
  <r>
    <x v="1"/>
    <x v="2"/>
    <s v="CBC_32B"/>
    <x v="2"/>
    <n v="13.833515631402323"/>
    <n v="722.88204000000007"/>
    <n v="648.07299999999998"/>
    <n v="1083.3399999999999"/>
    <n v="715.07349999999997"/>
    <n v="10485760"/>
    <n v="1.048576"/>
  </r>
  <r>
    <x v="2"/>
    <x v="2"/>
    <s v="CFB_32B"/>
    <x v="2"/>
    <n v="6.0701125926974493"/>
    <n v="1647.4158999999997"/>
    <n v="1483"/>
    <n v="2125.83"/>
    <n v="1622.085"/>
    <n v="10485760"/>
    <n v="1.048576"/>
  </r>
  <r>
    <x v="3"/>
    <x v="2"/>
    <s v="OFB_32B"/>
    <x v="2"/>
    <n v="6.4741328611187141"/>
    <n v="1544.6084000000001"/>
    <n v="1395.64"/>
    <n v="2014.8"/>
    <n v="1510.635"/>
    <n v="10485760"/>
    <n v="1.048576"/>
  </r>
  <r>
    <x v="4"/>
    <x v="2"/>
    <s v="CTR_32B"/>
    <x v="2"/>
    <n v="6.404339375421924"/>
    <n v="1561.4413000000004"/>
    <n v="1405.86"/>
    <n v="2162.38"/>
    <n v="1525.19"/>
    <n v="10485760"/>
    <n v="1.048576"/>
  </r>
  <r>
    <x v="0"/>
    <x v="2"/>
    <s v="ECB_32B"/>
    <x v="3"/>
    <n v="14.185623314071915"/>
    <n v="18046.440000000002"/>
    <n v="17056.7"/>
    <n v="19476.5"/>
    <n v="18076.650000000001"/>
    <n v="268435456"/>
    <n v="1.048576"/>
  </r>
  <r>
    <x v="1"/>
    <x v="2"/>
    <s v="CBC_32B"/>
    <x v="3"/>
    <n v="13.998426270671601"/>
    <n v="18287.77"/>
    <n v="17562.2"/>
    <n v="19662.7"/>
    <n v="18178.5"/>
    <n v="268435456"/>
    <n v="1.048576"/>
  </r>
  <r>
    <x v="2"/>
    <x v="2"/>
    <s v="CFB_32B"/>
    <x v="3"/>
    <n v="6.4479160763423176"/>
    <n v="39702.750000000007"/>
    <n v="38498.300000000003"/>
    <n v="42343.199999999997"/>
    <n v="39266.550000000003"/>
    <n v="268435456"/>
    <n v="1.048576"/>
  </r>
  <r>
    <x v="3"/>
    <x v="2"/>
    <s v="OFB_32B"/>
    <x v="3"/>
    <n v="6.6517245375362544"/>
    <n v="38486.259999999995"/>
    <n v="36217.4"/>
    <n v="43328.2"/>
    <n v="37419.4"/>
    <n v="268435456"/>
    <n v="1.048576"/>
  </r>
  <r>
    <x v="4"/>
    <x v="2"/>
    <s v="CTR_32B"/>
    <x v="3"/>
    <n v="6.7367410541473456"/>
    <n v="38000.57"/>
    <n v="36630.1"/>
    <n v="39906.9"/>
    <n v="37587.300000000003"/>
    <n v="268435456"/>
    <n v="1.04857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8.4988216808680548"/>
    <n v="117.66337000000003"/>
    <n v="113.931"/>
    <n v="150.25399999999999"/>
    <n v="116.059"/>
    <n v="2097152"/>
    <n v="2.0971519999999999"/>
  </r>
  <r>
    <x v="1"/>
    <x v="0"/>
    <s v="CBC_16B"/>
    <x v="0"/>
    <n v="8.5269708942080911"/>
    <n v="117.27493999999997"/>
    <n v="113.983"/>
    <n v="161.03500000000003"/>
    <n v="115.4755"/>
    <n v="2097184"/>
    <n v="2.0971840000000004"/>
  </r>
  <r>
    <x v="2"/>
    <x v="0"/>
    <s v="CFB_16B"/>
    <x v="0"/>
    <n v="8.4848774877024429"/>
    <n v="117.85673999999999"/>
    <n v="114.568"/>
    <n v="158.21699999999998"/>
    <n v="115.72199999999999"/>
    <n v="2097152"/>
    <n v="2.0971519999999999"/>
  </r>
  <r>
    <x v="3"/>
    <x v="0"/>
    <s v="OFB_16B"/>
    <x v="0"/>
    <n v="8.5368752031776314"/>
    <n v="117.13887999999997"/>
    <n v="114.009"/>
    <n v="146.226"/>
    <n v="115.51650000000001"/>
    <n v="2097184"/>
    <n v="2.0971840000000004"/>
  </r>
  <r>
    <x v="4"/>
    <x v="0"/>
    <s v="CTR_16B"/>
    <x v="0"/>
    <n v="8.5391561725418494"/>
    <n v="117.10758999999999"/>
    <n v="114.057"/>
    <n v="140.62199999999999"/>
    <n v="115.33500000000001"/>
    <n v="2097152"/>
    <n v="2.0971519999999999"/>
  </r>
  <r>
    <x v="0"/>
    <x v="0"/>
    <s v="ECB_16B"/>
    <x v="1"/>
    <n v="8.2182299011024771"/>
    <n v="608.40352000000007"/>
    <n v="113.931"/>
    <n v="150.25399999999999"/>
    <n v="116.059"/>
    <n v="10485792"/>
    <n v="2.0971584000000001"/>
  </r>
  <r>
    <x v="1"/>
    <x v="0"/>
    <s v="CBC_16B"/>
    <x v="1"/>
    <n v="8.2275437133922651"/>
    <n v="607.71478999999988"/>
    <n v="582.45800000000008"/>
    <n v="701.57999999999993"/>
    <n v="601.18200000000002"/>
    <n v="10485792"/>
    <n v="2.0971584000000001"/>
  </r>
  <r>
    <x v="2"/>
    <x v="0"/>
    <s v="CFB_16B"/>
    <x v="1"/>
    <n v="8.228777390637573"/>
    <n v="607.62368000000004"/>
    <n v="587.12900000000002"/>
    <n v="694.26800000000003"/>
    <n v="600.56499999999994"/>
    <n v="10485760"/>
    <n v="2.0971519999999999"/>
  </r>
  <r>
    <x v="3"/>
    <x v="0"/>
    <s v="OFB_16B"/>
    <x v="1"/>
    <n v="8.2450380454088545"/>
    <n v="606.42534000000001"/>
    <n v="584.78300000000002"/>
    <n v="708.56600000000003"/>
    <n v="598.8605"/>
    <n v="10485760"/>
    <n v="2.0971519999999999"/>
  </r>
  <r>
    <x v="4"/>
    <x v="0"/>
    <s v="CTR_16B"/>
    <x v="1"/>
    <n v="8.2738431599369129"/>
    <n v="604.31408999999996"/>
    <n v="582.32399999999996"/>
    <n v="712.03099999999995"/>
    <n v="598.82550000000003"/>
    <n v="10485760"/>
    <n v="2.0971519999999999"/>
  </r>
  <r>
    <x v="0"/>
    <x v="0"/>
    <s v="ECB_16B"/>
    <x v="2"/>
    <n v="8.4600071351700201"/>
    <n v="1182.0320999999997"/>
    <n v="1149.2"/>
    <n v="1678.15"/>
    <n v="1174.585"/>
    <n v="20971552"/>
    <n v="2.0971552"/>
  </r>
  <r>
    <x v="1"/>
    <x v="0"/>
    <s v="CBC_16B"/>
    <x v="2"/>
    <n v="8.400537634408602"/>
    <n v="1190.4000000000001"/>
    <n v="1153.28"/>
    <n v="1649.88"/>
    <n v="1176.9350000000002"/>
    <n v="20971552"/>
    <n v="2.0971552"/>
  </r>
  <r>
    <x v="2"/>
    <x v="0"/>
    <s v="CFB_16B"/>
    <x v="2"/>
    <n v="8.3144546711313048"/>
    <n v="1202.7247000000004"/>
    <n v="1159.83"/>
    <n v="2146.3399999999997"/>
    <n v="1185.19"/>
    <n v="20971520"/>
    <n v="2.0971519999999999"/>
  </r>
  <r>
    <x v="3"/>
    <x v="0"/>
    <s v="OFB_16B"/>
    <x v="2"/>
    <n v="8.1938299640987342"/>
    <n v="1220.4304999999999"/>
    <n v="1161.9299999999998"/>
    <n v="3122.36"/>
    <n v="1184.145"/>
    <n v="20971520"/>
    <n v="2.0971519999999999"/>
  </r>
  <r>
    <x v="4"/>
    <x v="0"/>
    <s v="CTR_16B"/>
    <x v="2"/>
    <n v="8.4781888418217548"/>
    <n v="1179.4971999999998"/>
    <n v="1151.18"/>
    <n v="1380.16"/>
    <n v="1174.365"/>
    <n v="20971520"/>
    <n v="2.0971519999999999"/>
  </r>
  <r>
    <x v="0"/>
    <x v="0"/>
    <s v="ECB_16B"/>
    <x v="3"/>
    <n v="8.3183586630603976"/>
    <n v="30775.302000000003"/>
    <n v="29935.9"/>
    <n v="34696.300000000003"/>
    <n v="30618.199999999997"/>
    <n v="536870944"/>
    <n v="2.097152125"/>
  </r>
  <r>
    <x v="1"/>
    <x v="0"/>
    <s v="CBC_16B"/>
    <x v="3"/>
    <n v="8.2866703695566954"/>
    <n v="30892.986999999979"/>
    <n v="30009.599999999999"/>
    <n v="37355.600000000006"/>
    <n v="30640.15"/>
    <n v="536870944"/>
    <n v="2.097152125"/>
  </r>
  <r>
    <x v="2"/>
    <x v="0"/>
    <s v="CFB_16B"/>
    <x v="3"/>
    <n v="8.2784313265154648"/>
    <n v="30923.732999999993"/>
    <n v="30062.5"/>
    <n v="36343.4"/>
    <n v="30695.1"/>
    <n v="536870912"/>
    <n v="2.0971519999999999"/>
  </r>
  <r>
    <x v="3"/>
    <x v="0"/>
    <s v="OFB_16B"/>
    <x v="3"/>
    <n v="8.2688738013524503"/>
    <n v="30959.476000000006"/>
    <n v="30116.1"/>
    <n v="32570.500000000004"/>
    <n v="30851.15"/>
    <n v="536870912"/>
    <n v="2.0971519999999999"/>
  </r>
  <r>
    <x v="4"/>
    <x v="0"/>
    <s v="CTR_16B"/>
    <x v="3"/>
    <n v="8.3119195881521755"/>
    <n v="30799.143000000007"/>
    <n v="29929.300000000003"/>
    <n v="33470.400000000001"/>
    <n v="30602.6"/>
    <n v="536870912"/>
    <n v="2.0971519999999999"/>
  </r>
  <r>
    <x v="0"/>
    <x v="1"/>
    <s v="ECB_24B"/>
    <x v="0"/>
    <n v="8.3800591464574552"/>
    <n v="119.3309"/>
    <n v="114.81"/>
    <n v="147.434"/>
    <n v="116.18600000000001"/>
    <n v="2097152"/>
    <n v="2.0971519999999999"/>
  </r>
  <r>
    <x v="1"/>
    <x v="1"/>
    <s v="CBC_24B"/>
    <x v="0"/>
    <n v="8.3744259435696016"/>
    <n v="119.41116999999998"/>
    <n v="114.64"/>
    <n v="153.27599999999998"/>
    <n v="115.86150000000001"/>
    <n v="2097184"/>
    <n v="2.0971840000000004"/>
  </r>
  <r>
    <x v="2"/>
    <x v="1"/>
    <s v="CFB_24B"/>
    <x v="0"/>
    <n v="8.3161210418070528"/>
    <n v="120.24836999999999"/>
    <n v="115.059"/>
    <n v="164.38200000000001"/>
    <n v="116.27500000000001"/>
    <n v="2097152"/>
    <n v="2.0971519999999999"/>
  </r>
  <r>
    <x v="3"/>
    <x v="1"/>
    <s v="OFB_24B"/>
    <x v="0"/>
    <n v="8.3812405040545102"/>
    <n v="119.31407999999999"/>
    <n v="115.18299999999999"/>
    <n v="138.54400000000001"/>
    <n v="116.2265"/>
    <n v="2097184"/>
    <n v="2.0971840000000004"/>
  </r>
  <r>
    <x v="4"/>
    <x v="1"/>
    <s v="CTR_24B"/>
    <x v="0"/>
    <n v="8.4033740555237824"/>
    <n v="118.99982"/>
    <n v="114.58500000000001"/>
    <n v="158.452"/>
    <n v="115.901"/>
    <n v="2097152"/>
    <n v="2.0971519999999999"/>
  </r>
  <r>
    <x v="0"/>
    <x v="1"/>
    <s v="ECB_24B"/>
    <x v="1"/>
    <n v="8.4529993456364139"/>
    <n v="591.50602000000003"/>
    <n v="580.42399999999998"/>
    <n v="677.19299999999998"/>
    <n v="583.22299999999996"/>
    <n v="10485792"/>
    <n v="2.0971584000000001"/>
  </r>
  <r>
    <x v="1"/>
    <x v="1"/>
    <s v="CBC_24B"/>
    <x v="1"/>
    <n v="8.4598552627050658"/>
    <n v="591.02666000000022"/>
    <n v="581.197"/>
    <n v="652.86299999999994"/>
    <n v="584.16949999999997"/>
    <n v="10485792"/>
    <n v="2.0971584000000001"/>
  </r>
  <r>
    <x v="2"/>
    <x v="1"/>
    <s v="CFB_24B"/>
    <x v="1"/>
    <n v="8.4336456447253898"/>
    <n v="592.86342000000002"/>
    <n v="581.399"/>
    <n v="674.01299999999992"/>
    <n v="584.32950000000005"/>
    <n v="10485760"/>
    <n v="2.0971519999999999"/>
  </r>
  <r>
    <x v="3"/>
    <x v="1"/>
    <s v="OFB_24B"/>
    <x v="1"/>
    <n v="8.4587851529981926"/>
    <n v="591.10142999999994"/>
    <n v="580.62699999999995"/>
    <n v="661.95299999999997"/>
    <n v="583.8900000000001"/>
    <n v="10485760"/>
    <n v="2.0971519999999999"/>
  </r>
  <r>
    <x v="4"/>
    <x v="1"/>
    <s v="CTR_24B"/>
    <x v="1"/>
    <n v="8.4675335795285651"/>
    <n v="590.49072000000001"/>
    <n v="579.42099999999994"/>
    <n v="699.99900000000002"/>
    <n v="583.1825"/>
    <n v="10485760"/>
    <n v="2.0971519999999999"/>
  </r>
  <r>
    <x v="0"/>
    <x v="1"/>
    <s v="ECB_24B"/>
    <x v="2"/>
    <n v="8.3813156670844169"/>
    <n v="1193.1301000000003"/>
    <n v="1161.1199999999999"/>
    <n v="1454.54"/>
    <n v="1186.9949999999999"/>
    <n v="20971552"/>
    <n v="2.0971552"/>
  </r>
  <r>
    <x v="1"/>
    <x v="1"/>
    <s v="CBC_24B"/>
    <x v="2"/>
    <n v="8.3930703118554391"/>
    <n v="1191.4590999999998"/>
    <n v="1162"/>
    <n v="1350.43"/>
    <n v="1186.3000000000002"/>
    <n v="20971552"/>
    <n v="2.0971552"/>
  </r>
  <r>
    <x v="2"/>
    <x v="1"/>
    <s v="CFB_24B"/>
    <x v="2"/>
    <n v="8.4238702831801966"/>
    <n v="1187.1027999999994"/>
    <n v="1162.51"/>
    <n v="1343.71"/>
    <n v="1186.82"/>
    <n v="20971520"/>
    <n v="2.0971519999999999"/>
  </r>
  <r>
    <x v="3"/>
    <x v="1"/>
    <s v="OFB_24B"/>
    <x v="2"/>
    <n v="8.3999258454546357"/>
    <n v="1190.4867000000002"/>
    <n v="1165.29"/>
    <n v="1414.9099999999999"/>
    <n v="1184.79"/>
    <n v="20971520"/>
    <n v="2.0971519999999999"/>
  </r>
  <r>
    <x v="4"/>
    <x v="1"/>
    <s v="CTR_24B"/>
    <x v="2"/>
    <n v="8.4188258078431684"/>
    <n v="1187.8140999999994"/>
    <n v="1162.8799999999999"/>
    <n v="1316.75"/>
    <n v="1183.95"/>
    <n v="20971520"/>
    <n v="2.0971519999999999"/>
  </r>
  <r>
    <x v="0"/>
    <x v="1"/>
    <s v="ECB_24B"/>
    <x v="3"/>
    <n v="7.4873585748374483"/>
    <n v="34190.963000000011"/>
    <n v="29876.9"/>
    <n v="73095.7"/>
    <n v="32678.55"/>
    <n v="536870944"/>
    <n v="2.097152125"/>
  </r>
  <r>
    <x v="1"/>
    <x v="1"/>
    <s v="CBC_24B"/>
    <x v="3"/>
    <n v="7.6472523243166268"/>
    <n v="33476.075999999994"/>
    <n v="29899.100000000002"/>
    <n v="51094.2"/>
    <n v="32844.35"/>
    <n v="536870944"/>
    <n v="2.097152125"/>
  </r>
  <r>
    <x v="2"/>
    <x v="1"/>
    <s v="CFB_24B"/>
    <x v="3"/>
    <n v="7.47385159161216"/>
    <n v="34252.75400000003"/>
    <n v="30063.9"/>
    <n v="63636.899999999994"/>
    <n v="32954.600000000006"/>
    <n v="536870912"/>
    <n v="2.0971519999999999"/>
  </r>
  <r>
    <x v="3"/>
    <x v="1"/>
    <s v="OFB_24B"/>
    <x v="3"/>
    <n v="7.4878084000867098"/>
    <n v="34188.908999999985"/>
    <n v="30096.3"/>
    <n v="54861.600000000006"/>
    <n v="33129.35"/>
    <n v="536870912"/>
    <n v="2.0971519999999999"/>
  </r>
  <r>
    <x v="4"/>
    <x v="1"/>
    <s v="CTR_24B"/>
    <x v="3"/>
    <n v="7.4540476162814686"/>
    <n v="34343.756999999998"/>
    <n v="30009.399999999998"/>
    <n v="51603.299999999996"/>
    <n v="32502.100000000002"/>
    <n v="536870912"/>
    <n v="2.0971519999999999"/>
  </r>
  <r>
    <x v="0"/>
    <x v="2"/>
    <s v="ECB_32B"/>
    <x v="0"/>
    <n v="8.4876508499575998"/>
    <n v="117.81823"/>
    <n v="115.19"/>
    <n v="149.911"/>
    <n v="116.15"/>
    <n v="2097152"/>
    <n v="2.0971519999999999"/>
  </r>
  <r>
    <x v="1"/>
    <x v="2"/>
    <s v="CBC_32B"/>
    <x v="0"/>
    <n v="8.4796065462562566"/>
    <n v="117.92999999999995"/>
    <n v="114.90599999999999"/>
    <n v="150.97999999999999"/>
    <n v="115.85550000000001"/>
    <n v="2097184"/>
    <n v="2.0971840000000004"/>
  </r>
  <r>
    <x v="2"/>
    <x v="2"/>
    <s v="CFB_32B"/>
    <x v="0"/>
    <n v="8.4815778856087896"/>
    <n v="117.90259"/>
    <n v="115.645"/>
    <n v="150.65100000000001"/>
    <n v="116.51"/>
    <n v="2097152"/>
    <n v="2.0971519999999999"/>
  </r>
  <r>
    <x v="3"/>
    <x v="2"/>
    <s v="OFB_32B"/>
    <x v="0"/>
    <n v="8.4245785393971193"/>
    <n v="118.70030000000001"/>
    <n v="115.715"/>
    <n v="149.821"/>
    <n v="116.55350000000001"/>
    <n v="2097184"/>
    <n v="2.0971840000000004"/>
  </r>
  <r>
    <x v="4"/>
    <x v="2"/>
    <s v="CTR_32B"/>
    <x v="0"/>
    <n v="8.5731522649282343"/>
    <n v="116.64321000000004"/>
    <n v="114.708"/>
    <n v="144.87800000000001"/>
    <n v="115.4455"/>
    <n v="2097152"/>
    <n v="2.0971519999999999"/>
  </r>
  <r>
    <x v="0"/>
    <x v="2"/>
    <s v="ECB_32B"/>
    <x v="1"/>
    <n v="8.326932697733012"/>
    <n v="600.46119999999974"/>
    <n v="115.19"/>
    <n v="149.911"/>
    <n v="116.15"/>
    <n v="10485792"/>
    <n v="2.0971584000000001"/>
  </r>
  <r>
    <x v="1"/>
    <x v="2"/>
    <s v="CBC_32B"/>
    <x v="1"/>
    <n v="8.2894292005157268"/>
    <n v="603.17783999999961"/>
    <n v="587.96"/>
    <n v="772.42599999999993"/>
    <n v="591.98400000000004"/>
    <n v="10485792"/>
    <n v="2.0971584000000001"/>
  </r>
  <r>
    <x v="2"/>
    <x v="2"/>
    <s v="CFB_32B"/>
    <x v="1"/>
    <n v="8.2575573081908988"/>
    <n v="605.50594000000001"/>
    <n v="591.53100000000006"/>
    <n v="780.78099999999995"/>
    <n v="595.25150000000008"/>
    <n v="10485760"/>
    <n v="2.0971519999999999"/>
  </r>
  <r>
    <x v="3"/>
    <x v="2"/>
    <s v="OFB_32B"/>
    <x v="1"/>
    <n v="8.2649772876771141"/>
    <n v="604.96233999999993"/>
    <n v="590.41500000000008"/>
    <n v="728.7829999999999"/>
    <n v="595.03650000000005"/>
    <n v="10485760"/>
    <n v="2.0971519999999999"/>
  </r>
  <r>
    <x v="4"/>
    <x v="2"/>
    <s v="CTR_32B"/>
    <x v="1"/>
    <n v="8.3225093550830938"/>
    <n v="600.7803399999998"/>
    <n v="586.55500000000006"/>
    <n v="781.29000000000008"/>
    <n v="590.82249999999999"/>
    <n v="10485760"/>
    <n v="2.0971519999999999"/>
  </r>
  <r>
    <x v="0"/>
    <x v="2"/>
    <s v="ECB_32B"/>
    <x v="2"/>
    <n v="8.4363353639030141"/>
    <n v="1185.3488"/>
    <n v="1153.4000000000001"/>
    <n v="1385.54"/>
    <n v="1179.395"/>
    <n v="20971552"/>
    <n v="2.0971552"/>
  </r>
  <r>
    <x v="1"/>
    <x v="2"/>
    <s v="CBC_32B"/>
    <x v="2"/>
    <n v="8.4537113652710012"/>
    <n v="1182.9124000000004"/>
    <n v="1156.0600000000002"/>
    <n v="1406.18"/>
    <n v="1178.8699999999999"/>
    <n v="20971552"/>
    <n v="2.0971552"/>
  </r>
  <r>
    <x v="2"/>
    <x v="2"/>
    <s v="CFB_32B"/>
    <x v="2"/>
    <n v="8.4396333283145673"/>
    <n v="1184.8855999999996"/>
    <n v="1160.8599999999999"/>
    <n v="1384.45"/>
    <n v="1183.895"/>
    <n v="20971520"/>
    <n v="2.0971519999999999"/>
  </r>
  <r>
    <x v="3"/>
    <x v="2"/>
    <s v="OFB_32B"/>
    <x v="2"/>
    <n v="8.4074711142413072"/>
    <n v="1189.4182999999998"/>
    <n v="1167.6299999999999"/>
    <n v="1299.6399999999999"/>
    <n v="1186.2950000000001"/>
    <n v="20971520"/>
    <n v="2.0971519999999999"/>
  </r>
  <r>
    <x v="4"/>
    <x v="2"/>
    <s v="CTR_32B"/>
    <x v="2"/>
    <n v="8.4542738340985721"/>
    <n v="1182.8336999999999"/>
    <n v="1154.9100000000001"/>
    <n v="1296.77"/>
    <n v="1178.915"/>
    <n v="20971520"/>
    <n v="2.0971519999999999"/>
  </r>
  <r>
    <x v="0"/>
    <x v="2"/>
    <s v="ECB_32B"/>
    <x v="3"/>
    <n v="7.4383067275852373"/>
    <n v="34416.434999999998"/>
    <n v="30698.5"/>
    <n v="78132.2"/>
    <n v="32371.65"/>
    <n v="536870944"/>
    <n v="2.097152125"/>
  </r>
  <r>
    <x v="1"/>
    <x v="2"/>
    <s v="CBC_32B"/>
    <x v="3"/>
    <n v="7.3820601980479879"/>
    <n v="34678.665999999997"/>
    <n v="30710.899999999998"/>
    <n v="75066.5"/>
    <n v="32676.5"/>
    <n v="536870944"/>
    <n v="2.097152125"/>
  </r>
  <r>
    <x v="2"/>
    <x v="2"/>
    <s v="CFB_32B"/>
    <x v="3"/>
    <n v="7.2189544703643449"/>
    <n v="35462.199000000001"/>
    <n v="30847.200000000001"/>
    <n v="161560"/>
    <n v="32642.95"/>
    <n v="536870912"/>
    <n v="2.0971519999999999"/>
  </r>
  <r>
    <x v="3"/>
    <x v="2"/>
    <s v="OFB_32B"/>
    <x v="3"/>
    <n v="7.2061540781019309"/>
    <n v="35525.190999999999"/>
    <n v="30835"/>
    <n v="187626"/>
    <n v="32732.800000000003"/>
    <n v="536870912"/>
    <n v="2.0971519999999999"/>
  </r>
  <r>
    <x v="4"/>
    <x v="2"/>
    <s v="CTR_32B"/>
    <x v="3"/>
    <n v="7.3633430405780329"/>
    <n v="34766.816999999995"/>
    <n v="30675.4"/>
    <n v="145321"/>
    <n v="32379.599999999999"/>
    <n v="536870912"/>
    <n v="2.097151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compact="0" compactData="0" gridDropZones="1" multipleFieldFilters="0" rowHeaderCaption="">
  <location ref="A4:F20" firstHeaderRow="1" firstDataRow="2" firstDataCol="2"/>
  <pivotFields count="11">
    <pivotField axis="axisRow" compact="0" outline="0" multipleItemSelectionAllowed="1" sortType="ascending" defaultSubtotal="0">
      <items count="5">
        <item x="1"/>
        <item x="2"/>
        <item x="4"/>
        <item x="0"/>
        <item x="3"/>
      </items>
    </pivotField>
    <pivotField axis="axisRow" compact="0" outline="0" showAll="0" sortType="ascending" defaultSubtotal="0">
      <items count="3">
        <item n="16" x="0"/>
        <item n="24" x="1"/>
        <item n="32" x="2"/>
      </items>
    </pivotField>
    <pivotField compact="0" outline="0" showAll="0"/>
    <pivotField name="Test Size (MB)" axis="axisCol" compact="0" outline="0" showAll="0">
      <items count="5">
        <item n="1" x="0"/>
        <item n="5" x="1"/>
        <item n="10" x="2"/>
        <item n="256" x="3"/>
        <item t="default"/>
      </items>
    </pivotField>
    <pivotField dataField="1" compact="0" outline="0" showAll="0" defaultSubtota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outline="0" showAll="0"/>
    <pivotField compact="0" numFmtId="164" outline="0" showAll="0" defaultSubtotal="0"/>
  </pivotFields>
  <rowFields count="2">
    <field x="0"/>
    <field x="1"/>
  </rowFields>
  <rowItems count="15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Average of Throughput (MB/s)" fld="4" subtotal="average" baseField="0" baseItem="0"/>
  </dataFields>
  <formats count="1">
    <format dxfId="78">
      <pivotArea dataOnly="0" outline="0" fieldPosition="0">
        <references count="1">
          <reference field="3" count="0"/>
        </references>
      </pivotArea>
    </format>
  </formats>
  <pivotTableStyleInfo name="PivotStyleMedium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6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compact="0" compactData="0" gridDropZones="1" multipleFieldFilters="0" rowHeaderCaption="" colHeaderCaption="Input Size (KB)">
  <location ref="A4:F20" firstHeaderRow="1" firstDataRow="2" firstDataCol="2"/>
  <pivotFields count="11">
    <pivotField axis="axisRow" compact="0" outline="0" showAll="0" sortType="ascending" defaultSubtotal="0">
      <items count="5">
        <item x="1"/>
        <item x="2"/>
        <item x="4"/>
        <item x="0"/>
        <item x="3"/>
      </items>
    </pivotField>
    <pivotField axis="axisRow" compact="0" outline="0" multipleItemSelectionAllowed="1" showAll="0" sortType="ascending" defaultSubtotal="0">
      <items count="3">
        <item n="16" x="0"/>
        <item n="24" x="1"/>
        <item n="32" x="2"/>
      </items>
    </pivotField>
    <pivotField compact="0" outline="0" showAll="0"/>
    <pivotField name="Test Size (MB)" axis="axisCol" compact="0" outline="0" showAll="0">
      <items count="5">
        <item n="1" x="0"/>
        <item n="5" x="1"/>
        <item n="20" x="2"/>
        <item n="256" x="3"/>
        <item t="default"/>
      </items>
    </pivotField>
    <pivotField dataField="1" compact="0" outline="0" showAll="0" defaultSubtota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outline="0" showAll="0"/>
    <pivotField compact="0" numFmtId="164" outline="0" showAll="0" defaultSubtotal="0"/>
  </pivotFields>
  <rowFields count="2">
    <field x="0"/>
    <field x="1"/>
  </rowFields>
  <rowItems count="15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Average of Throughput (MB/s)" fld="4" subtotal="average" baseField="0" baseItem="0" numFmtId="166"/>
  </dataFields>
  <formats count="1">
    <format dxfId="75">
      <pivotArea outline="0" collapsedLevelsAreSubtotals="1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16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MB)">
  <location ref="H4:L10" firstHeaderRow="1" firstDataRow="2" firstDataCol="1" rowPageCount="1" colPageCount="1"/>
  <pivotFields count="11">
    <pivotField axis="axisRow" showAll="0" defaultSubtotal="0">
      <items count="5">
        <item x="1"/>
        <item x="2"/>
        <item x="4"/>
        <item x="0"/>
        <item x="3"/>
      </items>
    </pivotField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 defaultSubtotal="0">
      <items count="4">
        <item n="1" x="0"/>
        <item n="5" x="1"/>
        <item n="10" x="2"/>
        <item n="256" x="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4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MB/s)" fld="4" subtotal="average" baseField="0" baseItem="0" numFmtId="166"/>
  </dataFields>
  <formats count="10">
    <format dxfId="338">
      <pivotArea collapsedLevelsAreSubtotals="1" fieldPosition="0">
        <references count="1">
          <reference field="0" count="1">
            <x v="1"/>
          </reference>
        </references>
      </pivotArea>
    </format>
    <format dxfId="337">
      <pivotArea collapsedLevelsAreSubtotals="1" fieldPosition="0">
        <references count="1">
          <reference field="0" count="1">
            <x v="2"/>
          </reference>
        </references>
      </pivotArea>
    </format>
    <format dxfId="336">
      <pivotArea collapsedLevelsAreSubtotals="1" fieldPosition="0">
        <references count="1">
          <reference field="0" count="1">
            <x v="3"/>
          </reference>
        </references>
      </pivotArea>
    </format>
    <format dxfId="335">
      <pivotArea collapsedLevelsAreSubtotals="1" fieldPosition="0">
        <references count="1">
          <reference field="0" count="1">
            <x v="4"/>
          </reference>
        </references>
      </pivotArea>
    </format>
    <format dxfId="334">
      <pivotArea dataOnly="0" labelOnly="1" outline="0" fieldPosition="0">
        <references count="1">
          <reference field="1" count="0"/>
        </references>
      </pivotArea>
    </format>
    <format dxfId="333">
      <pivotArea field="0" type="button" dataOnly="0" labelOnly="1" outline="0" axis="axisRow" fieldPosition="0"/>
    </format>
    <format dxfId="332">
      <pivotArea type="origin" dataOnly="0" labelOnly="1" outline="0" fieldPosition="0"/>
    </format>
    <format dxfId="43">
      <pivotArea outline="0" collapsedLevelsAreSubtotals="1" fieldPosition="0"/>
    </format>
    <format dxfId="1">
      <pivotArea outline="0" collapsedLevelsAreSubtotals="1" fieldPosition="0"/>
    </format>
    <format dxfId="0">
      <pivotArea dataOnly="0" labelOnly="1" fieldPosition="0">
        <references count="1">
          <reference field="3" count="0"/>
        </references>
      </pivotArea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21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MB)">
  <location ref="A4:E10" firstHeaderRow="1" firstDataRow="2" firstDataCol="1" rowPageCount="1" colPageCount="1"/>
  <pivotFields count="11">
    <pivotField axis="axisRow" showAll="0" defaultSubtotal="0">
      <items count="5">
        <item x="1"/>
        <item x="2"/>
        <item x="4"/>
        <item x="0"/>
        <item x="3"/>
      </items>
    </pivotField>
    <pivotField axis="axisPage" showAll="0">
      <items count="4">
        <item x="0"/>
        <item x="1"/>
        <item x="2"/>
        <item t="default"/>
      </items>
    </pivotField>
    <pivotField showAll="0" defaultSubtotal="0"/>
    <pivotField axis="axisCol" showAll="0">
      <items count="5">
        <item n="1" x="0"/>
        <item n="5" x="1"/>
        <item n="10" x="2"/>
        <item n="256" x="3"/>
        <item t="default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4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MB/s)" fld="4" subtotal="average" baseField="0" baseItem="0" numFmtId="166"/>
  </dataFields>
  <formats count="15">
    <format dxfId="349">
      <pivotArea collapsedLevelsAreSubtotals="1" fieldPosition="0">
        <references count="2">
          <reference field="0" count="1" selected="0">
            <x v="0"/>
          </reference>
          <reference field="1" count="0"/>
        </references>
      </pivotArea>
    </format>
    <format dxfId="348">
      <pivotArea collapsedLevelsAreSubtotals="1" fieldPosition="0">
        <references count="1">
          <reference field="0" count="1">
            <x v="1"/>
          </reference>
        </references>
      </pivotArea>
    </format>
    <format dxfId="347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346">
      <pivotArea collapsedLevelsAreSubtotals="1" fieldPosition="0">
        <references count="1">
          <reference field="0" count="1">
            <x v="2"/>
          </reference>
        </references>
      </pivotArea>
    </format>
    <format dxfId="345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344">
      <pivotArea collapsedLevelsAreSubtotals="1" fieldPosition="0">
        <references count="1">
          <reference field="0" count="1">
            <x v="3"/>
          </reference>
        </references>
      </pivotArea>
    </format>
    <format dxfId="343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342">
      <pivotArea collapsedLevelsAreSubtotals="1" fieldPosition="0">
        <references count="1">
          <reference field="0" count="1">
            <x v="4"/>
          </reference>
        </references>
      </pivotArea>
    </format>
    <format dxfId="341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340">
      <pivotArea dataOnly="0" labelOnly="1" outline="0" fieldPosition="0">
        <references count="1">
          <reference field="1" count="0"/>
        </references>
      </pivotArea>
    </format>
    <format dxfId="339">
      <pivotArea type="origin" dataOnly="0" labelOnly="1" outline="0" fieldPosition="0"/>
    </format>
    <format dxfId="74">
      <pivotArea outline="0" collapsedLevelsAreSubtotals="1" fieldPosition="0"/>
    </format>
    <format dxfId="73">
      <pivotArea dataOnly="0" labelOnly="1" fieldPosition="0">
        <references count="1">
          <reference field="3" count="0"/>
        </references>
      </pivotArea>
    </format>
    <format dxfId="5">
      <pivotArea outline="0" collapsedLevelsAreSubtotals="1" fieldPosition="0"/>
    </format>
    <format dxfId="3">
      <pivotArea dataOnly="0" labelOnly="1" fieldPosition="0">
        <references count="1">
          <reference field="3" count="0"/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6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Input Size (KB)" colHeaderCaption="Key Size (B) ">
  <location ref="H4:K10" firstHeaderRow="1" firstDataRow="2" firstDataCol="1" rowPageCount="1" colPageCount="1"/>
  <pivotFields count="11">
    <pivotField axis="axisRow" subtotalTop="0" showAll="0" defaultSubtotal="0">
      <items count="5">
        <item x="1"/>
        <item x="2"/>
        <item x="4"/>
        <item x="0"/>
        <item x="3"/>
      </items>
    </pivotField>
    <pivotField axis="axisCol" subtotalTop="0" showAll="0">
      <items count="4">
        <item x="0"/>
        <item x="1"/>
        <item x="2"/>
        <item t="default"/>
      </items>
    </pivotField>
    <pivotField showAll="0" defaultSubtotal="0"/>
    <pivotField axis="axisPage" multipleItemSelectionAllowed="1" showAll="0" defaultSubtotal="0">
      <items count="4">
        <item h="1" x="2"/>
        <item x="3"/>
        <item h="1" x="0"/>
        <item h="1"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4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MB/s)" fld="4" subtotal="average" baseField="0" baseItem="0" numFmtId="166"/>
  </dataFields>
  <formats count="5">
    <format dxfId="327">
      <pivotArea collapsedLevelsAreSubtotals="1" fieldPosition="0">
        <references count="1">
          <reference field="0" count="1">
            <x v="1"/>
          </reference>
        </references>
      </pivotArea>
    </format>
    <format dxfId="326">
      <pivotArea collapsedLevelsAreSubtotals="1" fieldPosition="0">
        <references count="1">
          <reference field="0" count="1">
            <x v="2"/>
          </reference>
        </references>
      </pivotArea>
    </format>
    <format dxfId="325">
      <pivotArea collapsedLevelsAreSubtotals="1" fieldPosition="0">
        <references count="1">
          <reference field="0" count="1">
            <x v="3"/>
          </reference>
        </references>
      </pivotArea>
    </format>
    <format dxfId="324">
      <pivotArea collapsedLevelsAreSubtotals="1" fieldPosition="0">
        <references count="1">
          <reference field="0" count="1">
            <x v="4"/>
          </reference>
        </references>
      </pivotArea>
    </format>
    <format dxfId="32">
      <pivotArea outline="0" collapsedLevelsAreSubtotals="1" fieldPosition="0"/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21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Key Size (B)">
  <location ref="A4:D10" firstHeaderRow="1" firstDataRow="2" firstDataCol="1" rowPageCount="1" colPageCount="1"/>
  <pivotFields count="11">
    <pivotField axis="axisRow" showAll="0" defaultSubtotal="0">
      <items count="5">
        <item x="1"/>
        <item x="2"/>
        <item x="4"/>
        <item x="0"/>
        <item x="3"/>
      </items>
    </pivotField>
    <pivotField axis="axisCol" multipleItemSelectionAllowed="1" showAll="0">
      <items count="4">
        <item x="0"/>
        <item x="1"/>
        <item x="2"/>
        <item t="default"/>
      </items>
    </pivotField>
    <pivotField showAll="0" defaultSubtotal="0"/>
    <pivotField axis="axisPage" multipleItemSelectionAllowed="1" showAll="0" defaultSubtotal="0">
      <items count="4">
        <item h="1" x="2"/>
        <item x="3"/>
        <item h="1" x="0"/>
        <item h="1"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4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MB/s)" fld="4" subtotal="average" baseField="0" baseItem="0" numFmtId="166"/>
  </dataFields>
  <formats count="5">
    <format dxfId="331">
      <pivotArea collapsedLevelsAreSubtotals="1" fieldPosition="0">
        <references count="1">
          <reference field="0" count="1">
            <x v="1"/>
          </reference>
        </references>
      </pivotArea>
    </format>
    <format dxfId="330">
      <pivotArea collapsedLevelsAreSubtotals="1" fieldPosition="0">
        <references count="1">
          <reference field="0" count="1">
            <x v="2"/>
          </reference>
        </references>
      </pivotArea>
    </format>
    <format dxfId="329">
      <pivotArea collapsedLevelsAreSubtotals="1" fieldPosition="0">
        <references count="1">
          <reference field="0" count="1">
            <x v="3"/>
          </reference>
        </references>
      </pivotArea>
    </format>
    <format dxfId="328">
      <pivotArea collapsedLevelsAreSubtotals="1" fieldPosition="0">
        <references count="1">
          <reference field="0" count="1">
            <x v="4"/>
          </reference>
        </references>
      </pivotArea>
    </format>
    <format dxfId="37">
      <pivotArea outline="0" collapsedLevelsAreSubtotals="1" fieldPosition="0"/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1" cacheId="16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MB)" colHeaderCaption="Key Size (KB)">
  <location ref="L4:O9" firstHeaderRow="1" firstDataRow="2" firstDataCol="1" rowPageCount="1" colPageCount="1"/>
  <pivotFields count="11">
    <pivotField axis="axisPage" showAll="0">
      <items count="6">
        <item x="1"/>
        <item x="2"/>
        <item x="4"/>
        <item x="0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5">
        <item n="1" x="0"/>
        <item n="10" x="2"/>
        <item n="256" x="3"/>
        <item n="5" x="1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  <pivotField numFmtId="164" showAll="0" defaultSubtota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MB/s)" fld="4" subtotal="average" baseField="0" baseItem="0" numFmtId="166"/>
  </dataFields>
  <formats count="1">
    <format dxfId="30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0" cacheId="2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MB)" colHeaderCaption="Key Size (B)">
  <location ref="A4:D9" firstHeaderRow="1" firstDataRow="2" firstDataCol="1" rowPageCount="1" colPageCount="1"/>
  <pivotFields count="11">
    <pivotField axis="axisPage" showAll="0">
      <items count="6">
        <item x="1"/>
        <item x="2"/>
        <item x="4"/>
        <item x="0"/>
        <item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 sortType="ascending">
      <items count="5">
        <item n="1" x="0"/>
        <item n="10" x="2"/>
        <item n="256" x="3"/>
        <item n="5" x="1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  <pivotField numFmtId="164" showAll="0" defaultSubtota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MB/s)" fld="4" subtotal="average" baseField="0" baseItem="0" numFmtId="166"/>
  </dataFields>
  <formats count="1">
    <format dxfId="31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1" name="SummaryEncryption" displayName="SummaryEncryption" ref="A2:K62" totalsRowShown="0" headerRowDxfId="130" dataDxfId="129">
  <autoFilter ref="A2:K62"/>
  <tableColumns count="11">
    <tableColumn id="1" name="Mode" dataDxfId="140"/>
    <tableColumn id="2" name="Key size (B)" dataDxfId="139"/>
    <tableColumn id="10" name="Mode_Key" dataDxfId="138">
      <calculatedColumnFormula>CONCATENATE(SummaryEncryption[[#This Row],[Mode]],"_",SummaryEncryption[[#This Row],[Key size (B)]])</calculatedColumnFormula>
    </tableColumn>
    <tableColumn id="3" name="Test Size (KB)" dataDxfId="137"/>
    <tableColumn id="9" name="Throughput (MB/s)" dataDxfId="79">
      <calculatedColumnFormula>SummaryEncryption[[#This Row],[Test Size (KB)]]/SummaryEncryption[[#This Row],[Average (ms)]]</calculatedColumnFormula>
    </tableColumn>
    <tableColumn id="4" name="Average (ms)" dataDxfId="136"/>
    <tableColumn id="5" name="Min (ms)" dataDxfId="135"/>
    <tableColumn id="6" name="Max (ms)" dataDxfId="134"/>
    <tableColumn id="7" name="Median (ms)" dataDxfId="133"/>
    <tableColumn id="8" name="Cipher size (B)" dataDxfId="132">
      <calculatedColumnFormula>VLOOKUP(SummaryEncryption[[#This Row],[Mode]],EncFileSummary[#All],6,FALSE)</calculatedColumnFormula>
    </tableColumn>
    <tableColumn id="11" name="Size %" dataDxfId="131">
      <calculatedColumnFormula>SummaryEncryption[[#This Row],[Cipher size (B)]]/1000/SummaryEncryption[[#This Row],[Test Size (KB)]]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2" name="SummaryDecryption" displayName="SummaryDecryption" ref="O2:Y62" totalsRowShown="0" headerRowDxfId="118" dataDxfId="117">
  <autoFilter ref="O2:Y62"/>
  <tableColumns count="11">
    <tableColumn id="1" name="Mode" dataDxfId="128"/>
    <tableColumn id="2" name="Key size (B)" dataDxfId="127"/>
    <tableColumn id="11" name="Mode_Key" dataDxfId="126">
      <calculatedColumnFormula>CONCATENATE(SummaryDecryption[[#This Row],[Mode]],"_",SummaryDecryption[[#This Row],[Key size (B)]])</calculatedColumnFormula>
    </tableColumn>
    <tableColumn id="3" name="Test Size (KB)" dataDxfId="125"/>
    <tableColumn id="10" name="Throughput (MB/s)" dataDxfId="80">
      <calculatedColumnFormula>SummaryDecryption[[#This Row],[Test Size (KB)]]/SummaryDecryption[[#This Row],[Average (ms)]]</calculatedColumnFormula>
    </tableColumn>
    <tableColumn id="4" name="Average (ms)" dataDxfId="124"/>
    <tableColumn id="5" name="Min (ms)" dataDxfId="123"/>
    <tableColumn id="6" name="Max (ms)" dataDxfId="122"/>
    <tableColumn id="7" name="Median (ms)" dataDxfId="121"/>
    <tableColumn id="8" name="Plain size (B)" dataDxfId="120"/>
    <tableColumn id="9" name="Size %" dataDxfId="119">
      <calculatedColumnFormula>SummaryDecryption[[#This Row],[Plain size (B)]]/1000/SummaryDecryption[[#This Row],[Test Size (KB)]]</calculatedColumnFormula>
    </tableColumn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id="7" name="Decrypt32x16" displayName="Decrypt32x16" ref="AK2:AO102" totalsRowShown="0">
  <autoFilter ref="AK2:AO102"/>
  <tableColumns count="5">
    <tableColumn id="1" name="ECB" totalsRowDxfId="323"/>
    <tableColumn id="2" name="CBC" totalsRowDxfId="322"/>
    <tableColumn id="3" name="OFB" totalsRowDxfId="321"/>
    <tableColumn id="4" name="CFB" totalsRowDxfId="320"/>
    <tableColumn id="5" name="CTR" totalsRowDxfId="319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8" name="Decrypt24x16" displayName="Decrypt24x16" ref="AD2:AH102">
  <autoFilter ref="AD2:AH102"/>
  <tableColumns count="5">
    <tableColumn id="1" name="ECB" totalsRowDxfId="318"/>
    <tableColumn id="2" name="CBC" totalsRowDxfId="317"/>
    <tableColumn id="3" name="OFB" totalsRowDxfId="316"/>
    <tableColumn id="4" name="CFB" totalsRowDxfId="315"/>
    <tableColumn id="5" name="CTR" totalsRowDxfId="314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9" name="Decrypt16x16" displayName="Decrypt16x16" ref="W2:AA102">
  <autoFilter ref="W2:AA102"/>
  <tableColumns count="5">
    <tableColumn id="1" name="ECB" totalsRowDxfId="313"/>
    <tableColumn id="2" name="CBC" totalsRowDxfId="312"/>
    <tableColumn id="3" name="OFB" totalsRowDxfId="311"/>
    <tableColumn id="4" name="CFB" totalsRowDxfId="310"/>
    <tableColumn id="5" name="CTR" totalsRowDxfId="309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0" name="Encrypt32x16" displayName="Encrypt32x16" ref="P2:T102">
  <autoFilter ref="P2:T102"/>
  <tableColumns count="5">
    <tableColumn id="1" name="ECB" totalsRowDxfId="308"/>
    <tableColumn id="2" name="CBC" dataDxfId="307" totalsRowDxfId="306"/>
    <tableColumn id="3" name="OFB" dataDxfId="305" totalsRowDxfId="304"/>
    <tableColumn id="4" name="CFB" dataDxfId="303" totalsRowDxfId="302"/>
    <tableColumn id="5" name="CTR" dataDxfId="301" totalsRowDxfId="300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1" name="Encrypt24x16" displayName="Encrypt24x16" ref="I2:M102">
  <autoFilter ref="I2:M102"/>
  <tableColumns count="5">
    <tableColumn id="1" name="ECB" totalsRowDxfId="299"/>
    <tableColumn id="2" name="CBC" dataDxfId="298" totalsRowDxfId="297"/>
    <tableColumn id="3" name="OFB" dataDxfId="296" totalsRowDxfId="295"/>
    <tableColumn id="4" name="CFB" dataDxfId="294" totalsRowDxfId="293"/>
    <tableColumn id="5" name="CTR" dataDxfId="292" totalsRowDxfId="291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12" name="Encrypt16x16" displayName="Encrypt16x16" ref="B2:F102">
  <autoFilter ref="B2:F102"/>
  <tableColumns count="5">
    <tableColumn id="1" name="ECB" totalsRowDxfId="290"/>
    <tableColumn id="2" name="CBC" dataDxfId="289"/>
    <tableColumn id="3" name="OFB" dataDxfId="288"/>
    <tableColumn id="4" name="CFB" dataDxfId="287"/>
    <tableColumn id="5" name="CTR" dataDxfId="286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19" name="SumEnc16x16" displayName="SumEnc16x16" ref="A105:F110" totalsRowShown="0" headerRowDxfId="285">
  <autoFilter ref="A105:F110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21" name="SumEnc24x16" displayName="SumEnc24x16" ref="H105:M110" totalsRowShown="0" headerRowDxfId="284" headerRowBorderDxfId="283" totalsRowBorderDxfId="282">
  <autoFilter ref="H105:M110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24" name="SumEnc32x16" displayName="SumEnc32x16" ref="O105:T110" totalsRowShown="0" headerRowDxfId="281" headerRowBorderDxfId="280" totalsRowBorderDxfId="279">
  <autoFilter ref="O105:T110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25" name="SumDec16x16" displayName="SumDec16x16" ref="V105:AA110" totalsRowShown="0" headerRowDxfId="278" headerRowBorderDxfId="277" totalsRowBorderDxfId="276">
  <autoFilter ref="V105:AA110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26" name="SumDec24x16" displayName="SumDec24x16" ref="AC105:AH110" totalsRowShown="0" headerRowDxfId="86" headerRowBorderDxfId="85" totalsRowBorderDxfId="84">
  <autoFilter ref="AC105:AH110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27" name="SumDec32x16" displayName="SumDec32x16" ref="AJ105:AO110" totalsRowShown="0" headerRowDxfId="275" headerRowBorderDxfId="274" totalsRowBorderDxfId="273">
  <autoFilter ref="AJ105:AO110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3" name="Encrypt16x32" displayName="Encrypt16x32" ref="B2:F102" dataDxfId="272">
  <autoFilter ref="B2:F102"/>
  <tableColumns count="5">
    <tableColumn id="1" name="ECB" dataDxfId="271" totalsRowDxfId="270"/>
    <tableColumn id="2" name="CBC" dataDxfId="269" totalsRowDxfId="268"/>
    <tableColumn id="3" name="OFB" dataDxfId="267" totalsRowDxfId="266"/>
    <tableColumn id="4" name="CFB" dataDxfId="265" totalsRowDxfId="264"/>
    <tableColumn id="5" name="CTR" dataDxfId="263" totalsRowDxfId="26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4" name="Encrypt24x32" displayName="Encrypt24x32" ref="I2:M102" dataDxfId="261">
  <autoFilter ref="I2:M102"/>
  <tableColumns count="5">
    <tableColumn id="1" name="ECB" dataDxfId="260" totalsRowDxfId="259"/>
    <tableColumn id="2" name="CBC" dataDxfId="258" totalsRowDxfId="257"/>
    <tableColumn id="3" name="OFB" dataDxfId="256" totalsRowDxfId="255"/>
    <tableColumn id="4" name="CFB" dataDxfId="254" totalsRowDxfId="253"/>
    <tableColumn id="5" name="CTR" dataDxfId="252" totalsRowDxfId="251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5" name="Encrypt32x32" displayName="Encrypt32x32" ref="P2:T102" dataDxfId="250">
  <autoFilter ref="P2:T102"/>
  <tableColumns count="5">
    <tableColumn id="1" name="ECB" dataDxfId="249" totalsRowDxfId="248"/>
    <tableColumn id="2" name="CBC" dataDxfId="247" totalsRowDxfId="246"/>
    <tableColumn id="3" name="OFB" dataDxfId="245" totalsRowDxfId="244"/>
    <tableColumn id="4" name="CFB" dataDxfId="243" totalsRowDxfId="242"/>
    <tableColumn id="5" name="CTR" dataDxfId="241" totalsRowDxfId="240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6" name="Decrypt16x32" displayName="Decrypt16x32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7" name="Decrypt24x32" displayName="Decrypt24x32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18" name="Decrypt32x32" displayName="Decrypt32x32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8" name="SumEnc16X32" displayName="SumEnc16X32" ref="A105:F110" totalsRowShown="0" headerRowDxfId="239" dataDxfId="237" headerRowBorderDxfId="238" totalsRowBorderDxfId="236">
  <autoFilter ref="A105:F110"/>
  <tableColumns count="6">
    <tableColumn id="1" name="Metric"/>
    <tableColumn id="2" name="ECB" dataDxfId="235"/>
    <tableColumn id="3" name="CBC" dataDxfId="234"/>
    <tableColumn id="4" name="OFB" dataDxfId="233"/>
    <tableColumn id="5" name="CFB" dataDxfId="232"/>
    <tableColumn id="6" name="CTR" dataDxfId="23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9" name="SumEnc24x32" displayName="SumEnc24x32" ref="H105:M110" totalsRowShown="0" headerRowDxfId="230" dataDxfId="228" headerRowBorderDxfId="229">
  <autoFilter ref="H105:M110"/>
  <tableColumns count="6">
    <tableColumn id="1" name="Metric"/>
    <tableColumn id="2" name="ECB" dataDxfId="227"/>
    <tableColumn id="3" name="CBC" dataDxfId="226"/>
    <tableColumn id="4" name="OFB" dataDxfId="225"/>
    <tableColumn id="5" name="CFB" dataDxfId="224"/>
    <tableColumn id="6" name="CTR" dataDxfId="223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30" name="SumEnc32x32" displayName="SumEnc32x32" ref="O105:T110" totalsRowShown="0" headerRowDxfId="222" dataDxfId="220" headerRowBorderDxfId="221">
  <autoFilter ref="O105:T110"/>
  <tableColumns count="6">
    <tableColumn id="1" name="Metric"/>
    <tableColumn id="2" name="ECB" dataDxfId="219"/>
    <tableColumn id="3" name="CBC" dataDxfId="218"/>
    <tableColumn id="4" name="OFB" dataDxfId="217"/>
    <tableColumn id="5" name="CFB" dataDxfId="216"/>
    <tableColumn id="6" name="CTR" dataDxfId="215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31" name="SumDec16x32" displayName="SumDec16x32" ref="V105:AA110" totalsRowShown="0" headerRowDxfId="214" dataDxfId="212" headerRowBorderDxfId="213" totalsRowBorderDxfId="211">
  <autoFilter ref="V105:AA110"/>
  <tableColumns count="6">
    <tableColumn id="1" name="Metric"/>
    <tableColumn id="2" name="ECB" dataDxfId="210"/>
    <tableColumn id="3" name="CBC" dataDxfId="209"/>
    <tableColumn id="4" name="OFB" dataDxfId="208"/>
    <tableColumn id="5" name="CFB" dataDxfId="207"/>
    <tableColumn id="6" name="CTR" dataDxfId="206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32" name="SumDec24x32" displayName="SumDec24x32" ref="AC105:AH110" totalsRowShown="0" headerRowDxfId="83" dataDxfId="82" headerRowBorderDxfId="81">
  <autoFilter ref="AC105:AH110"/>
  <tableColumns count="6">
    <tableColumn id="1" name="Metric"/>
    <tableColumn id="2" name="ECB" dataDxfId="205"/>
    <tableColumn id="3" name="CBC" dataDxfId="204"/>
    <tableColumn id="4" name="OFB" dataDxfId="203"/>
    <tableColumn id="5" name="CFB" dataDxfId="202"/>
    <tableColumn id="6" name="CTR" dataDxfId="201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33" name="SumDec32x32" displayName="SumDec32x32" ref="AJ105:AO110" totalsRowShown="0" headerRowDxfId="200" dataDxfId="198" headerRowBorderDxfId="199">
  <autoFilter ref="AJ105:AO110"/>
  <tableColumns count="6">
    <tableColumn id="1" name="Metric"/>
    <tableColumn id="2" name="ECB" dataDxfId="197"/>
    <tableColumn id="3" name="CBC" dataDxfId="196"/>
    <tableColumn id="4" name="OFB" dataDxfId="195"/>
    <tableColumn id="5" name="CFB" dataDxfId="194"/>
    <tableColumn id="6" name="CTR" dataDxfId="193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35" name="Enc16x10" displayName="Enc16x10" ref="B2:F102" totalsRowShown="0">
  <autoFilter ref="B2:F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36" name="Enc24x10" displayName="Enc24x10" ref="I2:M102" totalsRowShown="0">
  <autoFilter ref="I2:M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37" name="Enc32x10" displayName="Enc32x10" ref="P2:T102" totalsRowShown="0">
  <autoFilter ref="P2:T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38" name="Dec16x10" displayName="Dec16x10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id="39" name="DEc24x10" displayName="DEc24x1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40" name="Dec32x10" displayName="Dec32x10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id="41" name="SumEnc16x10" displayName="SumEnc16x10" ref="B105:F110" totalsRowCount="1" headerRowDxfId="192" headerRowBorderDxfId="191">
  <autoFilter ref="B105:F109"/>
  <tableColumns count="5">
    <tableColumn id="1" name="ECB" totalsRowFunction="custom" totalsRowDxfId="116">
      <totalsRowFormula>10000/B106</totalsRowFormula>
    </tableColumn>
    <tableColumn id="2" name="CBC" totalsRowFunction="custom" totalsRowDxfId="115">
      <totalsRowFormula>10000/C106</totalsRowFormula>
    </tableColumn>
    <tableColumn id="3" name="OFB" totalsRowFunction="custom" totalsRowDxfId="114">
      <totalsRowFormula>10000/D106</totalsRowFormula>
    </tableColumn>
    <tableColumn id="4" name="CFB" totalsRowFunction="custom" totalsRowDxfId="113">
      <totalsRowFormula>10000/E106</totalsRowFormula>
    </tableColumn>
    <tableColumn id="5" name="CTR" totalsRowFunction="custom" totalsRowDxfId="112">
      <totalsRowFormula>10000/F106</totalsRow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id="42" name="SumEnc24x10" displayName="SumEnc24x10" ref="I105:M110" totalsRowCount="1" headerRowDxfId="190" headerRowBorderDxfId="189">
  <autoFilter ref="I105:M109"/>
  <tableColumns count="5">
    <tableColumn id="1" name="ECB" totalsRowFunction="custom" totalsRowDxfId="111">
      <totalsRowFormula>10000/I106</totalsRowFormula>
    </tableColumn>
    <tableColumn id="2" name="CBC" totalsRowFunction="custom" totalsRowDxfId="110">
      <totalsRowFormula>10000/J106</totalsRowFormula>
    </tableColumn>
    <tableColumn id="3" name="OFB" totalsRowFunction="custom" totalsRowDxfId="109">
      <totalsRowFormula>10000/K106</totalsRowFormula>
    </tableColumn>
    <tableColumn id="4" name="CFB" totalsRowFunction="custom" totalsRowDxfId="108">
      <totalsRowFormula>10000/L106</totalsRowFormula>
    </tableColumn>
    <tableColumn id="5" name="CTR" totalsRowFunction="custom" totalsRowDxfId="107">
      <totalsRowFormula>10000/M106</totalsRowFormula>
    </tableColumn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id="43" name="SumEnc32x10" displayName="SumEnc32x10" ref="P105:T110" totalsRowCount="1" headerRowDxfId="188" headerRowBorderDxfId="187">
  <autoFilter ref="P105:T109"/>
  <tableColumns count="5">
    <tableColumn id="1" name="ECB" totalsRowFunction="custom" totalsRowDxfId="106">
      <totalsRowFormula>10000/P106</totalsRowFormula>
    </tableColumn>
    <tableColumn id="2" name="CBC" totalsRowFunction="custom" totalsRowDxfId="105">
      <totalsRowFormula>10000/Q106</totalsRowFormula>
    </tableColumn>
    <tableColumn id="3" name="OFB" totalsRowFunction="custom" totalsRowDxfId="104">
      <totalsRowFormula>10000/R106</totalsRowFormula>
    </tableColumn>
    <tableColumn id="4" name="CFB" totalsRowFunction="custom" totalsRowDxfId="103">
      <totalsRowFormula>10000/S106</totalsRowFormula>
    </tableColumn>
    <tableColumn id="5" name="CTR" totalsRowFunction="custom" totalsRowDxfId="102">
      <totalsRowFormula>10000/T106</totalsRow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id="44" name="SumDec16x10" displayName="SumDec16x10" ref="W105:AA110" totalsRowCount="1" headerRowDxfId="186" headerRowBorderDxfId="185">
  <autoFilter ref="W105:AA109"/>
  <tableColumns count="5">
    <tableColumn id="1" name="ECB" totalsRowFunction="custom" totalsRowDxfId="101">
      <totalsRowFormula>10000/W106</totalsRowFormula>
    </tableColumn>
    <tableColumn id="2" name="CBC" totalsRowFunction="custom" totalsRowDxfId="100">
      <totalsRowFormula>10000/X106</totalsRowFormula>
    </tableColumn>
    <tableColumn id="3" name="OFB" totalsRowFunction="custom" totalsRowDxfId="99">
      <totalsRowFormula>10000/Y106</totalsRowFormula>
    </tableColumn>
    <tableColumn id="4" name="CFB" totalsRowFunction="custom" totalsRowDxfId="98">
      <totalsRowFormula>10000/Z106</totalsRowFormula>
    </tableColumn>
    <tableColumn id="5" name="CTR" totalsRowFunction="custom" totalsRowDxfId="97">
      <totalsRowFormula>10000/AA106</totalsRow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id="45" name="SumDec24x10" displayName="SumDec24x10" ref="AD105:AH110" totalsRowCount="1" headerRowDxfId="184" headerRowBorderDxfId="183">
  <autoFilter ref="AD105:AH109"/>
  <tableColumns count="5">
    <tableColumn id="1" name="ECB" totalsRowFunction="custom" totalsRowDxfId="96">
      <totalsRowFormula>10000/AD106</totalsRowFormula>
    </tableColumn>
    <tableColumn id="2" name="CBC" totalsRowFunction="custom" totalsRowDxfId="95">
      <totalsRowFormula>10000/AE106</totalsRowFormula>
    </tableColumn>
    <tableColumn id="3" name="OFB" totalsRowFunction="custom" totalsRowDxfId="94">
      <totalsRowFormula>10000/AF106</totalsRowFormula>
    </tableColumn>
    <tableColumn id="4" name="CFB" totalsRowFunction="custom" totalsRowDxfId="93">
      <totalsRowFormula>10000/AG106</totalsRowFormula>
    </tableColumn>
    <tableColumn id="5" name="CTR" totalsRowFunction="custom" totalsRowDxfId="92">
      <totalsRowFormula>10000/AH106</totalsRow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id="46" name="SumDec32x10" displayName="SumDec32x10" ref="AK105:AO110" totalsRowCount="1" headerRowDxfId="182" headerRowBorderDxfId="181">
  <autoFilter ref="AK105:AO109"/>
  <tableColumns count="5">
    <tableColumn id="1" name="ECB" totalsRowFunction="custom" totalsRowDxfId="91">
      <totalsRowFormula>10000/AK106</totalsRowFormula>
    </tableColumn>
    <tableColumn id="2" name="CBC" totalsRowFunction="custom" totalsRowDxfId="90">
      <totalsRowFormula>10000/AL106</totalsRowFormula>
    </tableColumn>
    <tableColumn id="3" name="OFB" totalsRowFunction="custom" totalsRowDxfId="89">
      <totalsRowFormula>10000/AM106</totalsRowFormula>
    </tableColumn>
    <tableColumn id="4" name="CFB" totalsRowFunction="custom" totalsRowDxfId="88">
      <totalsRowFormula>10000/AN106</totalsRowFormula>
    </tableColumn>
    <tableColumn id="5" name="CTR" totalsRowFunction="custom" totalsRowDxfId="87">
      <totalsRowFormula>10000/AO106</totalsRowFormula>
    </tableColumn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id="47" name="Encrypt16x256" displayName="Encrypt16x256" ref="B2:F102">
  <autoFilter ref="B2:F102"/>
  <tableColumns count="5">
    <tableColumn id="1" name="ECB" totalsRowLabel="Total"/>
    <tableColumn id="2" name="CBC"/>
    <tableColumn id="3" name="OFB"/>
    <tableColumn id="4" name="CFB"/>
    <tableColumn id="5" name="CTR" totalsRowFunction="max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id="48" name="Encrypt24x256" displayName="Encrypt24x256" ref="I2:M102" totalsRowShown="0">
  <autoFilter ref="I2:M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id="49" name="Encrypt32x256" displayName="Encrypt32x256" ref="P2:T102" totalsRowShown="0">
  <autoFilter ref="P2:T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id="50" name="Decrypt16x256" displayName="Decrypt16x256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id="51" name="Decrypt24x256" displayName="Decrypt24x256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id="52" name="Decrypt32x256" displayName="Decrypt32x256" ref="AK2:AO12" totalsRowShown="0">
  <autoFilter ref="AK2:AO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id="55" name="SumEnc16x256" displayName="SumEnc16x256" ref="B105:G110" headerRowDxfId="180" headerRowBorderDxfId="179">
  <autoFilter ref="B105:G110"/>
  <tableColumns count="6">
    <tableColumn id="11" name="Metric" totalsRowDxfId="178"/>
    <tableColumn id="1" name="ECB" totalsRowFunction="custom" totalsRowDxfId="177">
      <totalsRowFormula>256000/C106/1000</totalsRowFormula>
    </tableColumn>
    <tableColumn id="2" name="CBC" totalsRowFunction="custom" totalsRowDxfId="176">
      <totalsRowFormula>256000/D106/1000</totalsRowFormula>
    </tableColumn>
    <tableColumn id="3" name="OFB" totalsRowFunction="custom" totalsRowDxfId="175">
      <totalsRowFormula>256000/E106/1000</totalsRowFormula>
    </tableColumn>
    <tableColumn id="4" name="CFB" totalsRowFunction="custom" totalsRowDxfId="174">
      <totalsRowFormula>256000/F106/1000</totalsRowFormula>
    </tableColumn>
    <tableColumn id="5" name="CTR" totalsRowFunction="custom" totalsRowDxfId="173">
      <totalsRowFormula>256000/G106/1000</totalsRowFormula>
    </tableColumn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id="56" name="SumEnc24x256" displayName="SumEnc24x256" ref="J105:N110" headerRowDxfId="172" headerRowBorderDxfId="171">
  <autoFilter ref="J105:N110"/>
  <tableColumns count="5">
    <tableColumn id="1" name="ECB" totalsRowFunction="custom" totalsRowDxfId="170">
      <totalsRowFormula>256000/J106/1000</totalsRowFormula>
    </tableColumn>
    <tableColumn id="2" name="CBC" totalsRowFunction="custom" totalsRowDxfId="169">
      <totalsRowFormula>256000/K106/1000</totalsRowFormula>
    </tableColumn>
    <tableColumn id="3" name="OFB" totalsRowFunction="custom" totalsRowDxfId="168">
      <totalsRowFormula>256000/L106/1000</totalsRowFormula>
    </tableColumn>
    <tableColumn id="4" name="CFB" totalsRowFunction="custom" totalsRowDxfId="167">
      <totalsRowFormula>256000/M106/1000</totalsRowFormula>
    </tableColumn>
    <tableColumn id="5" name="CTR" totalsRowFunction="custom" totalsRowDxfId="166">
      <totalsRowFormula>256000/N106/1000</totalsRowFormula>
    </tableColumn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id="57" name="SumEnc32x256" displayName="SumEnc32x256" ref="Q105:U110" headerRowDxfId="165" headerRowBorderDxfId="164">
  <autoFilter ref="Q105:U110"/>
  <tableColumns count="5">
    <tableColumn id="1" name="ECB" totalsRowFunction="custom" totalsRowDxfId="163">
      <totalsRowFormula>256000/Q106/1000</totalsRowFormula>
    </tableColumn>
    <tableColumn id="2" name="CBC" totalsRowFunction="custom" totalsRowDxfId="162">
      <totalsRowFormula>256000/R106/1000</totalsRowFormula>
    </tableColumn>
    <tableColumn id="3" name="OFB" totalsRowFunction="custom" totalsRowDxfId="161">
      <totalsRowFormula>256000/S106/1000</totalsRowFormula>
    </tableColumn>
    <tableColumn id="4" name="CFB" totalsRowFunction="custom" totalsRowDxfId="160">
      <totalsRowFormula>256000/T106/1000</totalsRowFormula>
    </tableColumn>
    <tableColumn id="5" name="CTR" totalsRowFunction="custom" totalsRowDxfId="159">
      <totalsRowFormula>256000/U106/1000</totalsRowFormula>
    </tableColumn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id="58" name="SumDec16x256" displayName="SumDec16x256" ref="X105:AB110" headerRowDxfId="158" headerRowBorderDxfId="157">
  <autoFilter ref="X105:AB110"/>
  <tableColumns count="5">
    <tableColumn id="1" name="ECB" totalsRowFunction="custom" totalsRowDxfId="156">
      <totalsRowFormula>256000/X106/1000</totalsRowFormula>
    </tableColumn>
    <tableColumn id="2" name="CBC" totalsRowFunction="custom" totalsRowDxfId="155">
      <totalsRowFormula>256000/Y106/1000</totalsRowFormula>
    </tableColumn>
    <tableColumn id="3" name="OFB" totalsRowFunction="custom" totalsRowDxfId="154">
      <totalsRowFormula>256000/Z106/1000</totalsRowFormula>
    </tableColumn>
    <tableColumn id="4" name="CFB" totalsRowFunction="custom" totalsRowDxfId="153">
      <totalsRowFormula>256000/AA106/1000</totalsRowFormula>
    </tableColumn>
    <tableColumn id="5" name="CTR" totalsRowFunction="custom" totalsRowDxfId="152">
      <totalsRowFormula>256000/AB106/1000</totalsRowFormula>
    </tableColumn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id="59" name="SumDec24x256" displayName="SumDec24x256" ref="AE105:AI110" headerRowDxfId="151" headerRowBorderDxfId="150">
  <autoFilter ref="AE105:AI110"/>
  <tableColumns count="5">
    <tableColumn id="1" name="ECB" totalsRowFunction="custom" totalsRowDxfId="149">
      <totalsRowFormula>256000/AE106/1000</totalsRowFormula>
    </tableColumn>
    <tableColumn id="2" name="CBC" totalsRowFunction="custom" totalsRowDxfId="148">
      <totalsRowFormula>256000/AF106/1000</totalsRowFormula>
    </tableColumn>
    <tableColumn id="3" name="OFB" totalsRowFunction="custom" totalsRowDxfId="147">
      <totalsRowFormula>256000/AG106/1000</totalsRowFormula>
    </tableColumn>
    <tableColumn id="4" name="CFB" totalsRowFunction="custom" totalsRowDxfId="146">
      <totalsRowFormula>256000/AH106/1000</totalsRowFormula>
    </tableColumn>
    <tableColumn id="5" name="CTR" totalsRowFunction="custom" totalsRowDxfId="145">
      <totalsRowFormula>256000/AI106/1000</totalsRowFormula>
    </tableColumn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id="60" name="SumDec32x256" displayName="SumDec32x256" ref="AL105:AP110" headerRowDxfId="144" headerRowBorderDxfId="143">
  <autoFilter ref="AL105:AP110"/>
  <tableColumns count="5">
    <tableColumn id="1" name="ECB" totalsRowLabel="Total"/>
    <tableColumn id="2" name="CBC"/>
    <tableColumn id="3" name="OFB"/>
    <tableColumn id="4" name="CFB"/>
    <tableColumn id="5" name="CTR" totalsRowFunction="sum"/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id="63" name="EncFileSummary" displayName="EncFileSummary" ref="A2:T7" totalsRowShown="0">
  <autoFilter ref="A2:T7"/>
  <tableColumns count="20">
    <tableColumn id="1" name="Mode"/>
    <tableColumn id="2" name="File"/>
    <tableColumn id="3" name="16x16B"/>
    <tableColumn id="4" name="24x16B"/>
    <tableColumn id="5" name="32x16B"/>
    <tableColumn id="6" name="16x32B"/>
    <tableColumn id="7" name="24x32B"/>
    <tableColumn id="8" name="32x32B"/>
    <tableColumn id="16" name="16x1"/>
    <tableColumn id="17" name="24x1"/>
    <tableColumn id="18" name="32x1"/>
    <tableColumn id="19" name="16x5"/>
    <tableColumn id="20" name="24x5" dataDxfId="142"/>
    <tableColumn id="21" name="32x5" dataDxfId="141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id="64" name="DecFileSummary" displayName="DecFileSummary" ref="A13:T18" totalsRowShown="0">
  <autoFilter ref="A13:T18"/>
  <tableColumns count="20">
    <tableColumn id="1" name="ode"/>
    <tableColumn id="2" name="File"/>
    <tableColumn id="3" name="16x16"/>
    <tableColumn id="4" name="24x16"/>
    <tableColumn id="5" name="32x16"/>
    <tableColumn id="6" name="16x32"/>
    <tableColumn id="7" name="24x32"/>
    <tableColumn id="8" name="32x32"/>
    <tableColumn id="15" name="16x1"/>
    <tableColumn id="16" name="24x1"/>
    <tableColumn id="17" name="32x1"/>
    <tableColumn id="18" name="16x5"/>
    <tableColumn id="19" name="24x5"/>
    <tableColumn id="20" name="32x5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2.xml"/><Relationship Id="rId12" Type="http://schemas.openxmlformats.org/officeDocument/2006/relationships/table" Target="../tables/table13.xml"/><Relationship Id="rId13" Type="http://schemas.openxmlformats.org/officeDocument/2006/relationships/table" Target="../tables/table14.xml"/><Relationship Id="rId1" Type="http://schemas.openxmlformats.org/officeDocument/2006/relationships/drawing" Target="../drawings/drawing6.xml"/><Relationship Id="rId2" Type="http://schemas.openxmlformats.org/officeDocument/2006/relationships/table" Target="../tables/table3.xml"/><Relationship Id="rId3" Type="http://schemas.openxmlformats.org/officeDocument/2006/relationships/table" Target="../tables/table4.xml"/><Relationship Id="rId4" Type="http://schemas.openxmlformats.org/officeDocument/2006/relationships/table" Target="../tables/table5.xml"/><Relationship Id="rId5" Type="http://schemas.openxmlformats.org/officeDocument/2006/relationships/table" Target="../tables/table6.xml"/><Relationship Id="rId6" Type="http://schemas.openxmlformats.org/officeDocument/2006/relationships/table" Target="../tables/table7.xml"/><Relationship Id="rId7" Type="http://schemas.openxmlformats.org/officeDocument/2006/relationships/table" Target="../tables/table8.xml"/><Relationship Id="rId8" Type="http://schemas.openxmlformats.org/officeDocument/2006/relationships/table" Target="../tables/table9.xml"/><Relationship Id="rId9" Type="http://schemas.openxmlformats.org/officeDocument/2006/relationships/table" Target="../tables/table10.xml"/><Relationship Id="rId10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4.xml"/><Relationship Id="rId12" Type="http://schemas.openxmlformats.org/officeDocument/2006/relationships/table" Target="../tables/table25.xml"/><Relationship Id="rId13" Type="http://schemas.openxmlformats.org/officeDocument/2006/relationships/table" Target="../tables/table26.xml"/><Relationship Id="rId1" Type="http://schemas.openxmlformats.org/officeDocument/2006/relationships/drawing" Target="../drawings/drawing7.xml"/><Relationship Id="rId2" Type="http://schemas.openxmlformats.org/officeDocument/2006/relationships/table" Target="../tables/table15.xml"/><Relationship Id="rId3" Type="http://schemas.openxmlformats.org/officeDocument/2006/relationships/table" Target="../tables/table16.xml"/><Relationship Id="rId4" Type="http://schemas.openxmlformats.org/officeDocument/2006/relationships/table" Target="../tables/table17.xml"/><Relationship Id="rId5" Type="http://schemas.openxmlformats.org/officeDocument/2006/relationships/table" Target="../tables/table18.xml"/><Relationship Id="rId6" Type="http://schemas.openxmlformats.org/officeDocument/2006/relationships/table" Target="../tables/table19.xml"/><Relationship Id="rId7" Type="http://schemas.openxmlformats.org/officeDocument/2006/relationships/table" Target="../tables/table20.xml"/><Relationship Id="rId8" Type="http://schemas.openxmlformats.org/officeDocument/2006/relationships/table" Target="../tables/table21.xml"/><Relationship Id="rId9" Type="http://schemas.openxmlformats.org/officeDocument/2006/relationships/table" Target="../tables/table22.xml"/><Relationship Id="rId10" Type="http://schemas.openxmlformats.org/officeDocument/2006/relationships/table" Target="../tables/table23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36.xml"/><Relationship Id="rId12" Type="http://schemas.openxmlformats.org/officeDocument/2006/relationships/table" Target="../tables/table37.xml"/><Relationship Id="rId13" Type="http://schemas.openxmlformats.org/officeDocument/2006/relationships/table" Target="../tables/table38.xml"/><Relationship Id="rId1" Type="http://schemas.openxmlformats.org/officeDocument/2006/relationships/drawing" Target="../drawings/drawing8.xml"/><Relationship Id="rId2" Type="http://schemas.openxmlformats.org/officeDocument/2006/relationships/table" Target="../tables/table27.xml"/><Relationship Id="rId3" Type="http://schemas.openxmlformats.org/officeDocument/2006/relationships/table" Target="../tables/table28.xml"/><Relationship Id="rId4" Type="http://schemas.openxmlformats.org/officeDocument/2006/relationships/table" Target="../tables/table29.xml"/><Relationship Id="rId5" Type="http://schemas.openxmlformats.org/officeDocument/2006/relationships/table" Target="../tables/table30.xml"/><Relationship Id="rId6" Type="http://schemas.openxmlformats.org/officeDocument/2006/relationships/table" Target="../tables/table31.xml"/><Relationship Id="rId7" Type="http://schemas.openxmlformats.org/officeDocument/2006/relationships/table" Target="../tables/table32.xml"/><Relationship Id="rId8" Type="http://schemas.openxmlformats.org/officeDocument/2006/relationships/table" Target="../tables/table33.xml"/><Relationship Id="rId9" Type="http://schemas.openxmlformats.org/officeDocument/2006/relationships/table" Target="../tables/table34.xml"/><Relationship Id="rId10" Type="http://schemas.openxmlformats.org/officeDocument/2006/relationships/table" Target="../tables/table35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8.xml"/><Relationship Id="rId12" Type="http://schemas.openxmlformats.org/officeDocument/2006/relationships/table" Target="../tables/table49.xml"/><Relationship Id="rId13" Type="http://schemas.openxmlformats.org/officeDocument/2006/relationships/table" Target="../tables/table50.xml"/><Relationship Id="rId1" Type="http://schemas.openxmlformats.org/officeDocument/2006/relationships/drawing" Target="../drawings/drawing9.xml"/><Relationship Id="rId2" Type="http://schemas.openxmlformats.org/officeDocument/2006/relationships/table" Target="../tables/table39.xml"/><Relationship Id="rId3" Type="http://schemas.openxmlformats.org/officeDocument/2006/relationships/table" Target="../tables/table40.xml"/><Relationship Id="rId4" Type="http://schemas.openxmlformats.org/officeDocument/2006/relationships/table" Target="../tables/table41.xml"/><Relationship Id="rId5" Type="http://schemas.openxmlformats.org/officeDocument/2006/relationships/table" Target="../tables/table42.xml"/><Relationship Id="rId6" Type="http://schemas.openxmlformats.org/officeDocument/2006/relationships/table" Target="../tables/table43.xml"/><Relationship Id="rId7" Type="http://schemas.openxmlformats.org/officeDocument/2006/relationships/table" Target="../tables/table44.xml"/><Relationship Id="rId8" Type="http://schemas.openxmlformats.org/officeDocument/2006/relationships/table" Target="../tables/table45.xml"/><Relationship Id="rId9" Type="http://schemas.openxmlformats.org/officeDocument/2006/relationships/table" Target="../tables/table46.xml"/><Relationship Id="rId10" Type="http://schemas.openxmlformats.org/officeDocument/2006/relationships/table" Target="../tables/table4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Relationship Id="rId2" Type="http://schemas.openxmlformats.org/officeDocument/2006/relationships/table" Target="../tables/table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48576"/>
  <sheetViews>
    <sheetView workbookViewId="0">
      <selection activeCell="E3" sqref="E3:E62"/>
    </sheetView>
  </sheetViews>
  <sheetFormatPr baseColWidth="10" defaultRowHeight="15" zeroHeight="1" x14ac:dyDescent="0.75"/>
  <cols>
    <col min="1" max="1" width="10.83203125" style="58"/>
    <col min="2" max="3" width="13.1640625" style="58" customWidth="1"/>
    <col min="4" max="4" width="15" style="58" bestFit="1" customWidth="1"/>
    <col min="5" max="5" width="20" style="58" bestFit="1" customWidth="1"/>
    <col min="6" max="6" width="14.83203125" style="58" bestFit="1" customWidth="1"/>
    <col min="7" max="8" width="11.83203125" style="58" bestFit="1" customWidth="1"/>
    <col min="9" max="10" width="15" style="58" bestFit="1" customWidth="1"/>
    <col min="11" max="12" width="11.83203125" style="58" bestFit="1" customWidth="1"/>
    <col min="13" max="13" width="14.6640625" style="58" bestFit="1" customWidth="1"/>
    <col min="14" max="14" width="15.6640625" style="58" bestFit="1" customWidth="1"/>
    <col min="15" max="17" width="10.83203125" style="58"/>
    <col min="18" max="18" width="15" style="58" bestFit="1" customWidth="1"/>
    <col min="19" max="19" width="20" style="58" bestFit="1" customWidth="1"/>
    <col min="20" max="20" width="13.33203125" style="58" bestFit="1" customWidth="1"/>
    <col min="21" max="21" width="13.33203125" style="58" customWidth="1"/>
    <col min="22" max="22" width="13.83203125" style="58" bestFit="1" customWidth="1"/>
    <col min="23" max="23" width="20" style="58" bestFit="1" customWidth="1"/>
    <col min="24" max="24" width="15" style="58" bestFit="1" customWidth="1"/>
    <col min="25" max="25" width="11.83203125" style="58" bestFit="1" customWidth="1"/>
    <col min="26" max="26" width="12.83203125" style="58" bestFit="1" customWidth="1"/>
    <col min="27" max="27" width="14.6640625" style="58" bestFit="1" customWidth="1"/>
    <col min="28" max="28" width="14.33203125" style="58" bestFit="1" customWidth="1"/>
    <col min="29" max="16384" width="10.83203125" style="58"/>
  </cols>
  <sheetData>
    <row r="1" spans="1:25">
      <c r="A1" s="57" t="s">
        <v>40</v>
      </c>
      <c r="B1" s="57"/>
      <c r="C1" s="57"/>
      <c r="D1" s="57"/>
      <c r="E1" s="57"/>
      <c r="F1" s="57"/>
      <c r="G1" s="57"/>
      <c r="H1" s="57"/>
      <c r="I1" s="57"/>
      <c r="J1" s="57"/>
      <c r="O1" s="59" t="s">
        <v>41</v>
      </c>
      <c r="P1" s="59"/>
      <c r="Q1" s="59"/>
      <c r="R1" s="59"/>
      <c r="S1" s="59"/>
      <c r="T1" s="59"/>
      <c r="U1" s="59"/>
      <c r="V1" s="59"/>
      <c r="W1" s="59"/>
      <c r="X1" s="59"/>
    </row>
    <row r="2" spans="1:25" ht="16" thickBot="1">
      <c r="A2" s="60" t="s">
        <v>7</v>
      </c>
      <c r="B2" s="61" t="s">
        <v>11</v>
      </c>
      <c r="C2" s="61" t="s">
        <v>79</v>
      </c>
      <c r="D2" s="61" t="s">
        <v>63</v>
      </c>
      <c r="E2" s="63" t="s">
        <v>92</v>
      </c>
      <c r="F2" s="61" t="s">
        <v>67</v>
      </c>
      <c r="G2" s="61" t="s">
        <v>68</v>
      </c>
      <c r="H2" s="61" t="s">
        <v>69</v>
      </c>
      <c r="I2" s="61" t="s">
        <v>70</v>
      </c>
      <c r="J2" s="61" t="s">
        <v>72</v>
      </c>
      <c r="K2" s="62" t="s">
        <v>82</v>
      </c>
      <c r="O2" s="60" t="s">
        <v>7</v>
      </c>
      <c r="P2" s="61" t="s">
        <v>11</v>
      </c>
      <c r="Q2" s="61" t="s">
        <v>79</v>
      </c>
      <c r="R2" s="61" t="s">
        <v>63</v>
      </c>
      <c r="S2" s="64" t="s">
        <v>92</v>
      </c>
      <c r="T2" s="61" t="s">
        <v>67</v>
      </c>
      <c r="U2" s="61" t="s">
        <v>68</v>
      </c>
      <c r="V2" s="61" t="s">
        <v>69</v>
      </c>
      <c r="W2" s="61" t="s">
        <v>70</v>
      </c>
      <c r="X2" s="61" t="s">
        <v>71</v>
      </c>
      <c r="Y2" s="62" t="s">
        <v>82</v>
      </c>
    </row>
    <row r="3" spans="1:25" ht="17" thickTop="1" thickBot="1">
      <c r="A3" s="50" t="s">
        <v>0</v>
      </c>
      <c r="B3" s="51" t="s">
        <v>12</v>
      </c>
      <c r="C3" s="51" t="str">
        <f>CONCATENATE(SummaryEncryption[[#This Row],[Mode]],"_",SummaryEncryption[[#This Row],[Key size (B)]])</f>
        <v>ECB_16B</v>
      </c>
      <c r="D3" s="51">
        <v>1000</v>
      </c>
      <c r="E3" s="65">
        <f>SummaryEncryption[[#This Row],[Test Size (KB)]]/SummaryEncryption[[#This Row],[Average (ms)]]</f>
        <v>8.4988216808680548</v>
      </c>
      <c r="F3" s="52">
        <f>HLOOKUP($A3,SumEnc16x16[#All],AVG,FALSE)</f>
        <v>117.66337000000003</v>
      </c>
      <c r="G3" s="52">
        <f>HLOOKUP($A3,SumEnc16x16[#All],MIN,FALSE)</f>
        <v>113.931</v>
      </c>
      <c r="H3" s="52">
        <f>HLOOKUP($A3,SumEnc16x16[#All],MAX,FALSE)</f>
        <v>150.25399999999999</v>
      </c>
      <c r="I3" s="52">
        <f>HLOOKUP($A3,SumEnc16x16[#All],MED,FALSE)</f>
        <v>116.059</v>
      </c>
      <c r="J3" s="51">
        <f>VLOOKUP(SummaryEncryption[[#This Row],[Mode]],EncFileSummary[#All],9,FALSE)</f>
        <v>2097152</v>
      </c>
      <c r="K3" s="53">
        <f>SummaryEncryption[[#This Row],[Cipher size (B)]]/1000/SummaryEncryption[[#This Row],[Test Size (KB)]]</f>
        <v>2.0971519999999999</v>
      </c>
      <c r="O3" s="50" t="s">
        <v>0</v>
      </c>
      <c r="P3" s="51" t="s">
        <v>12</v>
      </c>
      <c r="Q3" s="51" t="str">
        <f>CONCATENATE(SummaryDecryption[[#This Row],[Mode]],"_",SummaryDecryption[[#This Row],[Key size (B)]])</f>
        <v>ECB_16B</v>
      </c>
      <c r="R3" s="51">
        <v>1000</v>
      </c>
      <c r="S3" s="65">
        <f>SummaryDecryption[[#This Row],[Test Size (KB)]]/SummaryDecryption[[#This Row],[Average (ms)]]</f>
        <v>15.0378133335178</v>
      </c>
      <c r="T3" s="52">
        <f>HLOOKUP($A3,SumDec16x16[#All],AVG,FALSE)</f>
        <v>66.499029999999991</v>
      </c>
      <c r="U3" s="52">
        <f>HLOOKUP($A3,SumDec16x16[#All],MIN,FALSE)</f>
        <v>63.61</v>
      </c>
      <c r="V3" s="52">
        <f>HLOOKUP($A3,SumDec16x16[#All],MAX,FALSE)</f>
        <v>99.171000000000006</v>
      </c>
      <c r="W3" s="52">
        <f>HLOOKUP($A3,SumDec16x16[#All],MED,FALSE)</f>
        <v>64.9435</v>
      </c>
      <c r="X3" s="51">
        <f>VLOOKUP(SummaryEncryption[[#This Row],[Mode]],DecFileSummary[#All],9,FALSE)</f>
        <v>1048576</v>
      </c>
      <c r="Y3" s="53">
        <f>SummaryDecryption[[#This Row],[Plain size (B)]]/1000/SummaryDecryption[[#This Row],[Test Size (KB)]]</f>
        <v>1.048576</v>
      </c>
    </row>
    <row r="4" spans="1:25" ht="17" thickTop="1" thickBot="1">
      <c r="A4" s="54" t="s">
        <v>1</v>
      </c>
      <c r="B4" s="55" t="s">
        <v>12</v>
      </c>
      <c r="C4" s="51" t="str">
        <f>CONCATENATE(SummaryEncryption[[#This Row],[Mode]],"_",SummaryEncryption[[#This Row],[Key size (B)]])</f>
        <v>CBC_16B</v>
      </c>
      <c r="D4" s="51">
        <v>1000</v>
      </c>
      <c r="E4" s="65">
        <f>SummaryEncryption[[#This Row],[Test Size (KB)]]/SummaryEncryption[[#This Row],[Average (ms)]]</f>
        <v>8.5269708942080911</v>
      </c>
      <c r="F4" s="56">
        <f>HLOOKUP($A4,SumEnc16x16[#All],AVG,FALSE)</f>
        <v>117.27493999999997</v>
      </c>
      <c r="G4" s="56">
        <f>HLOOKUP($A4,SumEnc16x16[#All],MIN,FALSE)</f>
        <v>113.983</v>
      </c>
      <c r="H4" s="56">
        <f>HLOOKUP($A4,SumEnc16x16[#All],MAX,FALSE)</f>
        <v>161.03500000000003</v>
      </c>
      <c r="I4" s="56">
        <f>HLOOKUP($A4,SumEnc16x16[#All],MED,FALSE)</f>
        <v>115.4755</v>
      </c>
      <c r="J4" s="51">
        <f>VLOOKUP(SummaryEncryption[[#This Row],[Mode]],EncFileSummary[#All],9,FALSE)</f>
        <v>2097184</v>
      </c>
      <c r="K4" s="53">
        <f>SummaryEncryption[[#This Row],[Cipher size (B)]]/1000/SummaryEncryption[[#This Row],[Test Size (KB)]]</f>
        <v>2.0971840000000004</v>
      </c>
      <c r="O4" s="54" t="s">
        <v>1</v>
      </c>
      <c r="P4" s="55" t="s">
        <v>12</v>
      </c>
      <c r="Q4" s="51" t="str">
        <f>CONCATENATE(SummaryDecryption[[#This Row],[Mode]],"_",SummaryDecryption[[#This Row],[Key size (B)]])</f>
        <v>CBC_16B</v>
      </c>
      <c r="R4" s="51">
        <v>1000</v>
      </c>
      <c r="S4" s="65">
        <f>SummaryDecryption[[#This Row],[Test Size (KB)]]/SummaryDecryption[[#This Row],[Average (ms)]]</f>
        <v>15.396686386742589</v>
      </c>
      <c r="T4" s="56">
        <f>HLOOKUP($A4,SumDec16x16[#All],AVG,FALSE)</f>
        <v>64.949040000000011</v>
      </c>
      <c r="U4" s="56">
        <f>HLOOKUP($A4,SumDec16x16[#All],MIN,FALSE)</f>
        <v>63.256999999999998</v>
      </c>
      <c r="V4" s="56">
        <f>HLOOKUP($A4,SumDec16x16[#All],MAX,FALSE)</f>
        <v>90.796000000000006</v>
      </c>
      <c r="W4" s="56">
        <f>HLOOKUP($A4,SumDec16x16[#All],MED,FALSE)</f>
        <v>64.066000000000003</v>
      </c>
      <c r="X4" s="51">
        <f>VLOOKUP(SummaryEncryption[[#This Row],[Mode]],DecFileSummary[#All],9,FALSE)</f>
        <v>1048576</v>
      </c>
      <c r="Y4" s="53">
        <f>SummaryDecryption[[#This Row],[Plain size (B)]]/1000/SummaryDecryption[[#This Row],[Test Size (KB)]]</f>
        <v>1.048576</v>
      </c>
    </row>
    <row r="5" spans="1:25" ht="17" thickTop="1" thickBot="1">
      <c r="A5" s="54" t="s">
        <v>3</v>
      </c>
      <c r="B5" s="55" t="s">
        <v>12</v>
      </c>
      <c r="C5" s="51" t="str">
        <f>CONCATENATE(SummaryEncryption[[#This Row],[Mode]],"_",SummaryEncryption[[#This Row],[Key size (B)]])</f>
        <v>CFB_16B</v>
      </c>
      <c r="D5" s="51">
        <v>1000</v>
      </c>
      <c r="E5" s="65">
        <f>SummaryEncryption[[#This Row],[Test Size (KB)]]/SummaryEncryption[[#This Row],[Average (ms)]]</f>
        <v>8.4848774877024429</v>
      </c>
      <c r="F5" s="56">
        <f>HLOOKUP($A5,SumEnc16x16[#All],AVG,FALSE)</f>
        <v>117.85673999999999</v>
      </c>
      <c r="G5" s="56">
        <f>HLOOKUP($A5,SumEnc16x16[#All],MIN,FALSE)</f>
        <v>114.568</v>
      </c>
      <c r="H5" s="56">
        <f>HLOOKUP($A5,SumEnc16x16[#All],MAX,FALSE)</f>
        <v>158.21699999999998</v>
      </c>
      <c r="I5" s="56">
        <f>HLOOKUP($A5,SumEnc16x16[#All],MED,FALSE)</f>
        <v>115.72199999999999</v>
      </c>
      <c r="J5" s="51">
        <f>VLOOKUP(SummaryEncryption[[#This Row],[Mode]],EncFileSummary[#All],9,FALSE)</f>
        <v>2097152</v>
      </c>
      <c r="K5" s="53">
        <f>SummaryEncryption[[#This Row],[Cipher size (B)]]/1000/SummaryEncryption[[#This Row],[Test Size (KB)]]</f>
        <v>2.0971519999999999</v>
      </c>
      <c r="O5" s="54" t="s">
        <v>3</v>
      </c>
      <c r="P5" s="55" t="s">
        <v>12</v>
      </c>
      <c r="Q5" s="51" t="str">
        <f>CONCATENATE(SummaryDecryption[[#This Row],[Mode]],"_",SummaryDecryption[[#This Row],[Key size (B)]])</f>
        <v>CFB_16B</v>
      </c>
      <c r="R5" s="51">
        <v>1000</v>
      </c>
      <c r="S5" s="65">
        <f>SummaryDecryption[[#This Row],[Test Size (KB)]]/SummaryDecryption[[#This Row],[Average (ms)]]</f>
        <v>6.5993223419859897</v>
      </c>
      <c r="T5" s="56">
        <f>HLOOKUP($A5,SumDec16x16[#All],AVG,FALSE)</f>
        <v>151.53071000000003</v>
      </c>
      <c r="U5" s="56">
        <f>HLOOKUP($A5,SumDec16x16[#All],MIN,FALSE)</f>
        <v>144.74</v>
      </c>
      <c r="V5" s="56">
        <f>HLOOKUP($A5,SumDec16x16[#All],MAX,FALSE)</f>
        <v>228.22</v>
      </c>
      <c r="W5" s="56">
        <f>HLOOKUP($A5,SumDec16x16[#All],MED,FALSE)</f>
        <v>151.779</v>
      </c>
      <c r="X5" s="51">
        <f>VLOOKUP(SummaryEncryption[[#This Row],[Mode]],DecFileSummary[#All],9,FALSE)</f>
        <v>1048576</v>
      </c>
      <c r="Y5" s="53">
        <f>SummaryDecryption[[#This Row],[Plain size (B)]]/1000/SummaryDecryption[[#This Row],[Test Size (KB)]]</f>
        <v>1.048576</v>
      </c>
    </row>
    <row r="6" spans="1:25" ht="17" thickTop="1" thickBot="1">
      <c r="A6" s="54" t="s">
        <v>2</v>
      </c>
      <c r="B6" s="55" t="s">
        <v>12</v>
      </c>
      <c r="C6" s="51" t="str">
        <f>CONCATENATE(SummaryEncryption[[#This Row],[Mode]],"_",SummaryEncryption[[#This Row],[Key size (B)]])</f>
        <v>OFB_16B</v>
      </c>
      <c r="D6" s="51">
        <v>1000</v>
      </c>
      <c r="E6" s="65">
        <f>SummaryEncryption[[#This Row],[Test Size (KB)]]/SummaryEncryption[[#This Row],[Average (ms)]]</f>
        <v>8.5368752031776314</v>
      </c>
      <c r="F6" s="56">
        <f>HLOOKUP($A6,SumEnc16x16[#All],AVG,FALSE)</f>
        <v>117.13887999999997</v>
      </c>
      <c r="G6" s="56">
        <f>HLOOKUP($A6,SumEnc16x16[#All],MIN,FALSE)</f>
        <v>114.009</v>
      </c>
      <c r="H6" s="56">
        <f>HLOOKUP($A6,SumEnc16x16[#All],MAX,FALSE)</f>
        <v>146.226</v>
      </c>
      <c r="I6" s="56">
        <f>HLOOKUP($A6,SumEnc16x16[#All],MED,FALSE)</f>
        <v>115.51650000000001</v>
      </c>
      <c r="J6" s="51">
        <f>VLOOKUP(SummaryEncryption[[#This Row],[Mode]],EncFileSummary[#All],9,FALSE)</f>
        <v>2097184</v>
      </c>
      <c r="K6" s="53">
        <f>SummaryEncryption[[#This Row],[Cipher size (B)]]/1000/SummaryEncryption[[#This Row],[Test Size (KB)]]</f>
        <v>2.0971840000000004</v>
      </c>
      <c r="O6" s="54" t="s">
        <v>2</v>
      </c>
      <c r="P6" s="55" t="s">
        <v>12</v>
      </c>
      <c r="Q6" s="51" t="str">
        <f>CONCATENATE(SummaryDecryption[[#This Row],[Mode]],"_",SummaryDecryption[[#This Row],[Key size (B)]])</f>
        <v>OFB_16B</v>
      </c>
      <c r="R6" s="51">
        <v>1000</v>
      </c>
      <c r="S6" s="65">
        <f>SummaryDecryption[[#This Row],[Test Size (KB)]]/SummaryDecryption[[#This Row],[Average (ms)]]</f>
        <v>6.9932158114091916</v>
      </c>
      <c r="T6" s="56">
        <f>HLOOKUP($A6,SumDec16x16[#All],AVG,FALSE)</f>
        <v>142.99573000000004</v>
      </c>
      <c r="U6" s="56">
        <f>HLOOKUP($A6,SumDec16x16[#All],MIN,FALSE)</f>
        <v>138.886</v>
      </c>
      <c r="V6" s="56">
        <f>HLOOKUP($A6,SumDec16x16[#All],MAX,FALSE)</f>
        <v>211.75700000000001</v>
      </c>
      <c r="W6" s="56">
        <f>HLOOKUP($A6,SumDec16x16[#All],MED,FALSE)</f>
        <v>140.91800000000001</v>
      </c>
      <c r="X6" s="51">
        <f>VLOOKUP(SummaryEncryption[[#This Row],[Mode]],DecFileSummary[#All],9,FALSE)</f>
        <v>1048576</v>
      </c>
      <c r="Y6" s="53">
        <f>SummaryDecryption[[#This Row],[Plain size (B)]]/1000/SummaryDecryption[[#This Row],[Test Size (KB)]]</f>
        <v>1.048576</v>
      </c>
    </row>
    <row r="7" spans="1:25" ht="17" thickTop="1" thickBot="1">
      <c r="A7" s="54" t="s">
        <v>4</v>
      </c>
      <c r="B7" s="55" t="s">
        <v>12</v>
      </c>
      <c r="C7" s="51" t="str">
        <f>CONCATENATE(SummaryEncryption[[#This Row],[Mode]],"_",SummaryEncryption[[#This Row],[Key size (B)]])</f>
        <v>CTR_16B</v>
      </c>
      <c r="D7" s="51">
        <v>1000</v>
      </c>
      <c r="E7" s="65">
        <f>SummaryEncryption[[#This Row],[Test Size (KB)]]/SummaryEncryption[[#This Row],[Average (ms)]]</f>
        <v>8.5391561725418494</v>
      </c>
      <c r="F7" s="56">
        <f>HLOOKUP($A7,SumEnc16x16[#All],AVG,FALSE)</f>
        <v>117.10758999999999</v>
      </c>
      <c r="G7" s="56">
        <f>HLOOKUP($A7,SumEnc16x16[#All],MIN,FALSE)</f>
        <v>114.057</v>
      </c>
      <c r="H7" s="56">
        <f>HLOOKUP($A7,SumEnc16x16[#All],MAX,FALSE)</f>
        <v>140.62199999999999</v>
      </c>
      <c r="I7" s="56">
        <f>HLOOKUP($A7,SumEnc16x16[#All],MED,FALSE)</f>
        <v>115.33500000000001</v>
      </c>
      <c r="J7" s="51">
        <f>VLOOKUP(SummaryEncryption[[#This Row],[Mode]],EncFileSummary[#All],9,FALSE)</f>
        <v>2097152</v>
      </c>
      <c r="K7" s="53">
        <f>SummaryEncryption[[#This Row],[Cipher size (B)]]/1000/SummaryEncryption[[#This Row],[Test Size (KB)]]</f>
        <v>2.0971519999999999</v>
      </c>
      <c r="O7" s="54" t="s">
        <v>4</v>
      </c>
      <c r="P7" s="55" t="s">
        <v>12</v>
      </c>
      <c r="Q7" s="51" t="str">
        <f>CONCATENATE(SummaryDecryption[[#This Row],[Mode]],"_",SummaryDecryption[[#This Row],[Key size (B)]])</f>
        <v>CTR_16B</v>
      </c>
      <c r="R7" s="51">
        <v>1000</v>
      </c>
      <c r="S7" s="65">
        <f>SummaryDecryption[[#This Row],[Test Size (KB)]]/SummaryDecryption[[#This Row],[Average (ms)]]</f>
        <v>6.8013251974067623</v>
      </c>
      <c r="T7" s="56">
        <f>HLOOKUP($A7,SumDec16x16[#All],AVG,FALSE)</f>
        <v>147.03017000000003</v>
      </c>
      <c r="U7" s="56">
        <f>HLOOKUP($A7,SumDec16x16[#All],MIN,FALSE)</f>
        <v>144.33600000000001</v>
      </c>
      <c r="V7" s="56">
        <f>HLOOKUP($A7,SumDec16x16[#All],MAX,FALSE)</f>
        <v>173.04900000000001</v>
      </c>
      <c r="W7" s="56">
        <f>HLOOKUP($A7,SumDec16x16[#All],MED,FALSE)</f>
        <v>145.4205</v>
      </c>
      <c r="X7" s="51">
        <f>VLOOKUP(SummaryEncryption[[#This Row],[Mode]],DecFileSummary[#All],9,FALSE)</f>
        <v>1048576</v>
      </c>
      <c r="Y7" s="53">
        <f>SummaryDecryption[[#This Row],[Plain size (B)]]/1000/SummaryDecryption[[#This Row],[Test Size (KB)]]</f>
        <v>1.048576</v>
      </c>
    </row>
    <row r="8" spans="1:25" ht="17" thickTop="1" thickBot="1">
      <c r="A8" s="54" t="s">
        <v>0</v>
      </c>
      <c r="B8" s="55" t="s">
        <v>12</v>
      </c>
      <c r="C8" s="51" t="str">
        <f>CONCATENATE(SummaryEncryption[[#This Row],[Mode]],"_",SummaryEncryption[[#This Row],[Key size (B)]])</f>
        <v>ECB_16B</v>
      </c>
      <c r="D8" s="55">
        <v>5000</v>
      </c>
      <c r="E8" s="65">
        <f>SummaryEncryption[[#This Row],[Test Size (KB)]]/SummaryEncryption[[#This Row],[Average (ms)]]</f>
        <v>8.2182299011024771</v>
      </c>
      <c r="F8" s="56">
        <f>HLOOKUP($A8,SumEnc16X32[#All],AVG,FALSE)</f>
        <v>608.40352000000007</v>
      </c>
      <c r="G8" s="56">
        <f>HLOOKUP($A8,SumEnc16x16[#All],MIN,FALSE)</f>
        <v>113.931</v>
      </c>
      <c r="H8" s="56">
        <f>HLOOKUP($A8,SumEnc16x16[#All],MAX,FALSE)</f>
        <v>150.25399999999999</v>
      </c>
      <c r="I8" s="56">
        <f>HLOOKUP($A8,SumEnc16x16[#All],MED,FALSE)</f>
        <v>116.059</v>
      </c>
      <c r="J8" s="51">
        <f>VLOOKUP(SummaryEncryption[[#This Row],[Mode]],EncFileSummary[#All],12,FALSE)</f>
        <v>10485792</v>
      </c>
      <c r="K8" s="53">
        <f>SummaryEncryption[[#This Row],[Cipher size (B)]]/1000/SummaryEncryption[[#This Row],[Test Size (KB)]]</f>
        <v>2.0971584000000001</v>
      </c>
      <c r="O8" s="54" t="s">
        <v>0</v>
      </c>
      <c r="P8" s="55" t="s">
        <v>12</v>
      </c>
      <c r="Q8" s="51" t="str">
        <f>CONCATENATE(SummaryDecryption[[#This Row],[Mode]],"_",SummaryDecryption[[#This Row],[Key size (B)]])</f>
        <v>ECB_16B</v>
      </c>
      <c r="R8" s="55">
        <v>5000</v>
      </c>
      <c r="S8" s="65">
        <f>SummaryDecryption[[#This Row],[Test Size (KB)]]/SummaryDecryption[[#This Row],[Average (ms)]]</f>
        <v>14.272329694926382</v>
      </c>
      <c r="T8" s="56">
        <f>HLOOKUP($A8,SumDec16x32[#All],AVG,FALSE)</f>
        <v>350.32823000000002</v>
      </c>
      <c r="U8" s="56">
        <f>HLOOKUP($A8,SumDec16x16[#All],MIN,FALSE)</f>
        <v>63.61</v>
      </c>
      <c r="V8" s="56">
        <f>HLOOKUP($A8,SumDec16x16[#All],MAX,FALSE)</f>
        <v>99.171000000000006</v>
      </c>
      <c r="W8" s="56">
        <f>HLOOKUP($A8,SumDec16x16[#All],MED,FALSE)</f>
        <v>64.9435</v>
      </c>
      <c r="X8" s="51">
        <f>VLOOKUP(SummaryEncryption[[#This Row],[Mode]],DecFileSummary[#All],12,FALSE)</f>
        <v>5242880</v>
      </c>
      <c r="Y8" s="53">
        <f>SummaryDecryption[[#This Row],[Plain size (B)]]/1000/SummaryDecryption[[#This Row],[Test Size (KB)]]</f>
        <v>1.048576</v>
      </c>
    </row>
    <row r="9" spans="1:25" ht="17" thickTop="1" thickBot="1">
      <c r="A9" s="54" t="s">
        <v>1</v>
      </c>
      <c r="B9" s="55" t="s">
        <v>12</v>
      </c>
      <c r="C9" s="51" t="str">
        <f>CONCATENATE(SummaryEncryption[[#This Row],[Mode]],"_",SummaryEncryption[[#This Row],[Key size (B)]])</f>
        <v>CBC_16B</v>
      </c>
      <c r="D9" s="55">
        <v>5000</v>
      </c>
      <c r="E9" s="65">
        <f>SummaryEncryption[[#This Row],[Test Size (KB)]]/SummaryEncryption[[#This Row],[Average (ms)]]</f>
        <v>8.2275437133922651</v>
      </c>
      <c r="F9" s="56">
        <f>HLOOKUP($A9,SumEnc16X32[#All],AVG,FALSE)</f>
        <v>607.71478999999988</v>
      </c>
      <c r="G9" s="56">
        <f>HLOOKUP($A9,SumEnc16X32[#All],MIN,FALSE)</f>
        <v>582.45800000000008</v>
      </c>
      <c r="H9" s="56">
        <f>HLOOKUP($A9,SumEnc16X32[#All],MAX,FALSE)</f>
        <v>701.57999999999993</v>
      </c>
      <c r="I9" s="56">
        <f>HLOOKUP($A9,SumEnc16X32[#All],MED,FALSE)</f>
        <v>601.18200000000002</v>
      </c>
      <c r="J9" s="51">
        <f>VLOOKUP(SummaryEncryption[[#This Row],[Mode]],EncFileSummary[#All],12,FALSE)</f>
        <v>10485792</v>
      </c>
      <c r="K9" s="53">
        <f>SummaryEncryption[[#This Row],[Cipher size (B)]]/1000/SummaryEncryption[[#This Row],[Test Size (KB)]]</f>
        <v>2.0971584000000001</v>
      </c>
      <c r="O9" s="54" t="s">
        <v>1</v>
      </c>
      <c r="P9" s="55" t="s">
        <v>12</v>
      </c>
      <c r="Q9" s="51" t="str">
        <f>CONCATENATE(SummaryDecryption[[#This Row],[Mode]],"_",SummaryDecryption[[#This Row],[Key size (B)]])</f>
        <v>CBC_16B</v>
      </c>
      <c r="R9" s="55">
        <v>5000</v>
      </c>
      <c r="S9" s="65">
        <f>SummaryDecryption[[#This Row],[Test Size (KB)]]/SummaryDecryption[[#This Row],[Average (ms)]]</f>
        <v>13.468276484860647</v>
      </c>
      <c r="T9" s="56">
        <f>HLOOKUP($A9,SumDec16x32[#All],AVG,FALSE)</f>
        <v>371.24275</v>
      </c>
      <c r="U9" s="56">
        <f>HLOOKUP($A9,SumDec16x32[#All],MIN,FALSE)</f>
        <v>316.416</v>
      </c>
      <c r="V9" s="56">
        <f>HLOOKUP($A9,SumDec16x32[#All],MAX,FALSE)</f>
        <v>452.41500000000002</v>
      </c>
      <c r="W9" s="56">
        <f>HLOOKUP($A9,SumDec16x32[#All],MED,FALSE)</f>
        <v>361.887</v>
      </c>
      <c r="X9" s="51">
        <f>VLOOKUP(SummaryEncryption[[#This Row],[Mode]],DecFileSummary[#All],12,FALSE)</f>
        <v>5242880</v>
      </c>
      <c r="Y9" s="53">
        <f>SummaryDecryption[[#This Row],[Plain size (B)]]/1000/SummaryDecryption[[#This Row],[Test Size (KB)]]</f>
        <v>1.048576</v>
      </c>
    </row>
    <row r="10" spans="1:25" ht="17" thickTop="1" thickBot="1">
      <c r="A10" s="54" t="s">
        <v>3</v>
      </c>
      <c r="B10" s="55" t="s">
        <v>12</v>
      </c>
      <c r="C10" s="51" t="str">
        <f>CONCATENATE(SummaryEncryption[[#This Row],[Mode]],"_",SummaryEncryption[[#This Row],[Key size (B)]])</f>
        <v>CFB_16B</v>
      </c>
      <c r="D10" s="55">
        <v>5000</v>
      </c>
      <c r="E10" s="65">
        <f>SummaryEncryption[[#This Row],[Test Size (KB)]]/SummaryEncryption[[#This Row],[Average (ms)]]</f>
        <v>8.228777390637573</v>
      </c>
      <c r="F10" s="56">
        <f>HLOOKUP($A10,SumEnc16X32[#All],AVG,FALSE)</f>
        <v>607.62368000000004</v>
      </c>
      <c r="G10" s="56">
        <f>HLOOKUP($A10,SumEnc16X32[#All],MIN,FALSE)</f>
        <v>587.12900000000002</v>
      </c>
      <c r="H10" s="56">
        <f>HLOOKUP($A10,SumEnc16X32[#All],MAX,FALSE)</f>
        <v>694.26800000000003</v>
      </c>
      <c r="I10" s="56">
        <f>HLOOKUP($A10,SumEnc16X32[#All],MED,FALSE)</f>
        <v>600.56499999999994</v>
      </c>
      <c r="J10" s="51">
        <f>VLOOKUP(SummaryEncryption[[#This Row],[Mode]],EncFileSummary[#All],12,FALSE)</f>
        <v>10485760</v>
      </c>
      <c r="K10" s="53">
        <f>SummaryEncryption[[#This Row],[Cipher size (B)]]/1000/SummaryEncryption[[#This Row],[Test Size (KB)]]</f>
        <v>2.0971519999999999</v>
      </c>
      <c r="O10" s="54" t="s">
        <v>3</v>
      </c>
      <c r="P10" s="55" t="s">
        <v>12</v>
      </c>
      <c r="Q10" s="51" t="str">
        <f>CONCATENATE(SummaryDecryption[[#This Row],[Mode]],"_",SummaryDecryption[[#This Row],[Key size (B)]])</f>
        <v>CFB_16B</v>
      </c>
      <c r="R10" s="55">
        <v>5000</v>
      </c>
      <c r="S10" s="65">
        <f>SummaryDecryption[[#This Row],[Test Size (KB)]]/SummaryDecryption[[#This Row],[Average (ms)]]</f>
        <v>4.8674063034508137</v>
      </c>
      <c r="T10" s="56">
        <f>HLOOKUP($A10,SumDec16x32[#All],AVG,FALSE)</f>
        <v>1027.2411400000001</v>
      </c>
      <c r="U10" s="56">
        <f>HLOOKUP($A10,SumDec16x32[#All],MIN,FALSE)</f>
        <v>939.601</v>
      </c>
      <c r="V10" s="56">
        <f>HLOOKUP($A10,SumDec16x32[#All],MAX,FALSE)</f>
        <v>1218.31</v>
      </c>
      <c r="W10" s="56">
        <f>HLOOKUP($A10,SumDec16x32[#All],MED,FALSE)</f>
        <v>1011.89</v>
      </c>
      <c r="X10" s="51">
        <f>VLOOKUP(SummaryEncryption[[#This Row],[Mode]],DecFileSummary[#All],12,FALSE)</f>
        <v>5242880</v>
      </c>
      <c r="Y10" s="53">
        <f>SummaryDecryption[[#This Row],[Plain size (B)]]/1000/SummaryDecryption[[#This Row],[Test Size (KB)]]</f>
        <v>1.048576</v>
      </c>
    </row>
    <row r="11" spans="1:25" ht="17" thickTop="1" thickBot="1">
      <c r="A11" s="54" t="s">
        <v>2</v>
      </c>
      <c r="B11" s="55" t="s">
        <v>12</v>
      </c>
      <c r="C11" s="51" t="str">
        <f>CONCATENATE(SummaryEncryption[[#This Row],[Mode]],"_",SummaryEncryption[[#This Row],[Key size (B)]])</f>
        <v>OFB_16B</v>
      </c>
      <c r="D11" s="55">
        <v>5000</v>
      </c>
      <c r="E11" s="65">
        <f>SummaryEncryption[[#This Row],[Test Size (KB)]]/SummaryEncryption[[#This Row],[Average (ms)]]</f>
        <v>8.2450380454088545</v>
      </c>
      <c r="F11" s="56">
        <f>HLOOKUP($A11,SumEnc16X32[#All],AVG,FALSE)</f>
        <v>606.42534000000001</v>
      </c>
      <c r="G11" s="56">
        <f>HLOOKUP($A11,SumEnc16X32[#All],MIN,FALSE)</f>
        <v>584.78300000000002</v>
      </c>
      <c r="H11" s="56">
        <f>HLOOKUP($A11,SumEnc16X32[#All],MAX,FALSE)</f>
        <v>708.56600000000003</v>
      </c>
      <c r="I11" s="56">
        <f>HLOOKUP($A11,SumEnc16X32[#All],MED,FALSE)</f>
        <v>598.8605</v>
      </c>
      <c r="J11" s="51">
        <f>VLOOKUP(SummaryEncryption[[#This Row],[Mode]],EncFileSummary[#All],12,FALSE)</f>
        <v>10485760</v>
      </c>
      <c r="K11" s="53">
        <f>SummaryEncryption[[#This Row],[Cipher size (B)]]/1000/SummaryEncryption[[#This Row],[Test Size (KB)]]</f>
        <v>2.0971519999999999</v>
      </c>
      <c r="O11" s="54" t="s">
        <v>2</v>
      </c>
      <c r="P11" s="55" t="s">
        <v>12</v>
      </c>
      <c r="Q11" s="51" t="str">
        <f>CONCATENATE(SummaryDecryption[[#This Row],[Mode]],"_",SummaryDecryption[[#This Row],[Key size (B)]])</f>
        <v>OFB_16B</v>
      </c>
      <c r="R11" s="55">
        <v>5000</v>
      </c>
      <c r="S11" s="65">
        <f>SummaryDecryption[[#This Row],[Test Size (KB)]]/SummaryDecryption[[#This Row],[Average (ms)]]</f>
        <v>6.4178469129925304</v>
      </c>
      <c r="T11" s="56">
        <f>HLOOKUP($A11,SumDec16x32[#All],AVG,FALSE)</f>
        <v>779.07748000000004</v>
      </c>
      <c r="U11" s="56">
        <f>HLOOKUP($A11,SumDec16x32[#All],MIN,FALSE)</f>
        <v>705.91200000000003</v>
      </c>
      <c r="V11" s="56">
        <f>HLOOKUP($A11,SumDec16x32[#All],MAX,FALSE)</f>
        <v>972.08799999999997</v>
      </c>
      <c r="W11" s="56">
        <f>HLOOKUP($A11,SumDec16x32[#All],MED,FALSE)</f>
        <v>771.86400000000003</v>
      </c>
      <c r="X11" s="51">
        <f>VLOOKUP(SummaryEncryption[[#This Row],[Mode]],DecFileSummary[#All],12,FALSE)</f>
        <v>5242880</v>
      </c>
      <c r="Y11" s="53">
        <f>SummaryDecryption[[#This Row],[Plain size (B)]]/1000/SummaryDecryption[[#This Row],[Test Size (KB)]]</f>
        <v>1.048576</v>
      </c>
    </row>
    <row r="12" spans="1:25" ht="17" thickTop="1" thickBot="1">
      <c r="A12" s="54" t="s">
        <v>4</v>
      </c>
      <c r="B12" s="55" t="s">
        <v>12</v>
      </c>
      <c r="C12" s="51" t="str">
        <f>CONCATENATE(SummaryEncryption[[#This Row],[Mode]],"_",SummaryEncryption[[#This Row],[Key size (B)]])</f>
        <v>CTR_16B</v>
      </c>
      <c r="D12" s="55">
        <v>5000</v>
      </c>
      <c r="E12" s="65">
        <f>SummaryEncryption[[#This Row],[Test Size (KB)]]/SummaryEncryption[[#This Row],[Average (ms)]]</f>
        <v>8.2738431599369129</v>
      </c>
      <c r="F12" s="56">
        <f>HLOOKUP($A12,SumEnc16X32[#All],AVG,FALSE)</f>
        <v>604.31408999999996</v>
      </c>
      <c r="G12" s="56">
        <f>HLOOKUP($A12,SumEnc16X32[#All],MIN,FALSE)</f>
        <v>582.32399999999996</v>
      </c>
      <c r="H12" s="56">
        <f>HLOOKUP($A12,SumEnc16X32[#All],MAX,FALSE)</f>
        <v>712.03099999999995</v>
      </c>
      <c r="I12" s="56">
        <f>HLOOKUP($A12,SumEnc16X32[#All],MED,FALSE)</f>
        <v>598.82550000000003</v>
      </c>
      <c r="J12" s="51">
        <f>VLOOKUP(SummaryEncryption[[#This Row],[Mode]],EncFileSummary[#All],12,FALSE)</f>
        <v>10485760</v>
      </c>
      <c r="K12" s="53">
        <f>SummaryEncryption[[#This Row],[Cipher size (B)]]/1000/SummaryEncryption[[#This Row],[Test Size (KB)]]</f>
        <v>2.0971519999999999</v>
      </c>
      <c r="O12" s="54" t="s">
        <v>4</v>
      </c>
      <c r="P12" s="55" t="s">
        <v>12</v>
      </c>
      <c r="Q12" s="51" t="str">
        <f>CONCATENATE(SummaryDecryption[[#This Row],[Mode]],"_",SummaryDecryption[[#This Row],[Key size (B)]])</f>
        <v>CTR_16B</v>
      </c>
      <c r="R12" s="55">
        <v>5000</v>
      </c>
      <c r="S12" s="65">
        <f>SummaryDecryption[[#This Row],[Test Size (KB)]]/SummaryDecryption[[#This Row],[Average (ms)]]</f>
        <v>6.377446329420585</v>
      </c>
      <c r="T12" s="56">
        <f>HLOOKUP($A12,SumDec16x32[#All],AVG,FALSE)</f>
        <v>784.01287000000025</v>
      </c>
      <c r="U12" s="56">
        <f>HLOOKUP($A12,SumDec16x32[#All],MIN,FALSE)</f>
        <v>716.91700000000003</v>
      </c>
      <c r="V12" s="56">
        <f>HLOOKUP($A12,SumDec16x32[#All],MAX,FALSE)</f>
        <v>957.846</v>
      </c>
      <c r="W12" s="56">
        <f>HLOOKUP($A12,SumDec16x32[#All],MED,FALSE)</f>
        <v>768.05</v>
      </c>
      <c r="X12" s="51">
        <f>VLOOKUP(SummaryEncryption[[#This Row],[Mode]],DecFileSummary[#All],12,FALSE)</f>
        <v>5242880</v>
      </c>
      <c r="Y12" s="53">
        <f>SummaryDecryption[[#This Row],[Plain size (B)]]/1000/SummaryDecryption[[#This Row],[Test Size (KB)]]</f>
        <v>1.048576</v>
      </c>
    </row>
    <row r="13" spans="1:25" ht="17" thickTop="1" thickBot="1">
      <c r="A13" s="54" t="s">
        <v>0</v>
      </c>
      <c r="B13" s="55" t="s">
        <v>12</v>
      </c>
      <c r="C13" s="51" t="str">
        <f>CONCATENATE(SummaryEncryption[[#This Row],[Mode]],"_",SummaryEncryption[[#This Row],[Key size (B)]])</f>
        <v>ECB_16B</v>
      </c>
      <c r="D13" s="55">
        <v>10000</v>
      </c>
      <c r="E13" s="65">
        <f>SummaryEncryption[[#This Row],[Test Size (KB)]]/SummaryEncryption[[#This Row],[Average (ms)]]</f>
        <v>8.4600071351700201</v>
      </c>
      <c r="F13" s="56">
        <f>HLOOKUP($A13,SumEnc16x10[#All],AVG,FALSE)</f>
        <v>1182.0320999999997</v>
      </c>
      <c r="G13" s="56">
        <f>HLOOKUP($A13,SumEnc16x10[#All],MIN,FALSE)</f>
        <v>1149.2</v>
      </c>
      <c r="H13" s="56">
        <f>HLOOKUP($A13,SumEnc16x10[#All],MAX,FALSE)</f>
        <v>1678.15</v>
      </c>
      <c r="I13" s="56">
        <f>HLOOKUP($A13,SumEnc16x10[#All],MED,FALSE)</f>
        <v>1174.585</v>
      </c>
      <c r="J13" s="51">
        <f>VLOOKUP(SummaryEncryption[[#This Row],[Mode]],EncFileSummary[#All],15,FALSE)</f>
        <v>20971552</v>
      </c>
      <c r="K13" s="53">
        <f>SummaryEncryption[[#This Row],[Cipher size (B)]]/1000/SummaryEncryption[[#This Row],[Test Size (KB)]]</f>
        <v>2.0971552</v>
      </c>
      <c r="O13" s="54" t="s">
        <v>0</v>
      </c>
      <c r="P13" s="55" t="s">
        <v>12</v>
      </c>
      <c r="Q13" s="51" t="str">
        <f>CONCATENATE(SummaryDecryption[[#This Row],[Mode]],"_",SummaryDecryption[[#This Row],[Key size (B)]])</f>
        <v>ECB_16B</v>
      </c>
      <c r="R13" s="55">
        <v>10000</v>
      </c>
      <c r="S13" s="65">
        <f>SummaryDecryption[[#This Row],[Test Size (KB)]]/SummaryDecryption[[#This Row],[Average (ms)]]</f>
        <v>13.656387749422654</v>
      </c>
      <c r="T13" s="56">
        <f>HLOOKUP($A13,SumDec16x10[#All],AVG,FALSE)</f>
        <v>732.25806000000011</v>
      </c>
      <c r="U13" s="56">
        <f>HLOOKUP($A13,SumDec16x10[#All],MIN,FALSE)</f>
        <v>623.67899999999997</v>
      </c>
      <c r="V13" s="56">
        <f>HLOOKUP($A13,SumDec16x10[#All],MAX,FALSE)</f>
        <v>921.03200000000004</v>
      </c>
      <c r="W13" s="56">
        <f>HLOOKUP($A13,SumDec16x10[#All],MED,FALSE)</f>
        <v>729.69399999999996</v>
      </c>
      <c r="X13" s="51">
        <f>VLOOKUP(SummaryEncryption[[#This Row],[Mode]],DecFileSummary[#All],15,FALSE)</f>
        <v>10485760</v>
      </c>
      <c r="Y13" s="53">
        <f>SummaryDecryption[[#This Row],[Plain size (B)]]/1000/SummaryDecryption[[#This Row],[Test Size (KB)]]</f>
        <v>1.048576</v>
      </c>
    </row>
    <row r="14" spans="1:25" ht="17" thickTop="1" thickBot="1">
      <c r="A14" s="54" t="s">
        <v>1</v>
      </c>
      <c r="B14" s="55" t="s">
        <v>12</v>
      </c>
      <c r="C14" s="51" t="str">
        <f>CONCATENATE(SummaryEncryption[[#This Row],[Mode]],"_",SummaryEncryption[[#This Row],[Key size (B)]])</f>
        <v>CBC_16B</v>
      </c>
      <c r="D14" s="55">
        <v>10000</v>
      </c>
      <c r="E14" s="65">
        <f>SummaryEncryption[[#This Row],[Test Size (KB)]]/SummaryEncryption[[#This Row],[Average (ms)]]</f>
        <v>8.400537634408602</v>
      </c>
      <c r="F14" s="56">
        <f>HLOOKUP($A14,SumEnc16x10[#All],AVG,FALSE)</f>
        <v>1190.4000000000001</v>
      </c>
      <c r="G14" s="56">
        <f>HLOOKUP($A14,SumEnc16x10[#All],MIN,FALSE)</f>
        <v>1153.28</v>
      </c>
      <c r="H14" s="56">
        <f>HLOOKUP($A14,SumEnc16x10[#All],MAX,FALSE)</f>
        <v>1649.88</v>
      </c>
      <c r="I14" s="56">
        <f>HLOOKUP($A14,SumEnc16x10[#All],MED,FALSE)</f>
        <v>1176.9350000000002</v>
      </c>
      <c r="J14" s="51">
        <f>VLOOKUP(SummaryEncryption[[#This Row],[Mode]],EncFileSummary[#All],15,FALSE)</f>
        <v>20971552</v>
      </c>
      <c r="K14" s="53">
        <f>SummaryEncryption[[#This Row],[Cipher size (B)]]/1000/SummaryEncryption[[#This Row],[Test Size (KB)]]</f>
        <v>2.0971552</v>
      </c>
      <c r="O14" s="54" t="s">
        <v>1</v>
      </c>
      <c r="P14" s="55" t="s">
        <v>12</v>
      </c>
      <c r="Q14" s="51" t="str">
        <f>CONCATENATE(SummaryDecryption[[#This Row],[Mode]],"_",SummaryDecryption[[#This Row],[Key size (B)]])</f>
        <v>CBC_16B</v>
      </c>
      <c r="R14" s="55">
        <v>10000</v>
      </c>
      <c r="S14" s="65">
        <f>SummaryDecryption[[#This Row],[Test Size (KB)]]/SummaryDecryption[[#This Row],[Average (ms)]]</f>
        <v>14.015001713894565</v>
      </c>
      <c r="T14" s="56">
        <f>HLOOKUP($A14,SumDec16x10[#All],AVG,FALSE)</f>
        <v>713.52113999999972</v>
      </c>
      <c r="U14" s="56">
        <f>HLOOKUP($A14,SumDec16x10[#All],MIN,FALSE)</f>
        <v>626.50599999999997</v>
      </c>
      <c r="V14" s="56">
        <f>HLOOKUP($A14,SumDec16x10[#All],MAX,FALSE)</f>
        <v>961.84100000000001</v>
      </c>
      <c r="W14" s="56">
        <f>HLOOKUP($A14,SumDec16x10[#All],MED,FALSE)</f>
        <v>711.55549999999994</v>
      </c>
      <c r="X14" s="51">
        <f>VLOOKUP(SummaryEncryption[[#This Row],[Mode]],DecFileSummary[#All],15,FALSE)</f>
        <v>10485760</v>
      </c>
      <c r="Y14" s="53">
        <f>SummaryDecryption[[#This Row],[Plain size (B)]]/1000/SummaryDecryption[[#This Row],[Test Size (KB)]]</f>
        <v>1.048576</v>
      </c>
    </row>
    <row r="15" spans="1:25" ht="17" thickTop="1" thickBot="1">
      <c r="A15" s="54" t="s">
        <v>3</v>
      </c>
      <c r="B15" s="55" t="s">
        <v>12</v>
      </c>
      <c r="C15" s="51" t="str">
        <f>CONCATENATE(SummaryEncryption[[#This Row],[Mode]],"_",SummaryEncryption[[#This Row],[Key size (B)]])</f>
        <v>CFB_16B</v>
      </c>
      <c r="D15" s="55">
        <v>10000</v>
      </c>
      <c r="E15" s="65">
        <f>SummaryEncryption[[#This Row],[Test Size (KB)]]/SummaryEncryption[[#This Row],[Average (ms)]]</f>
        <v>8.3144546711313048</v>
      </c>
      <c r="F15" s="56">
        <f>HLOOKUP($A15,SumEnc16x10[#All],AVG,FALSE)</f>
        <v>1202.7247000000004</v>
      </c>
      <c r="G15" s="56">
        <f>HLOOKUP($A15,SumEnc16x10[#All],MIN,FALSE)</f>
        <v>1159.83</v>
      </c>
      <c r="H15" s="56">
        <f>HLOOKUP($A15,SumEnc16x10[#All],MAX,FALSE)</f>
        <v>2146.3399999999997</v>
      </c>
      <c r="I15" s="56">
        <f>HLOOKUP($A15,SumEnc16x10[#All],MED,FALSE)</f>
        <v>1185.19</v>
      </c>
      <c r="J15" s="51">
        <f>VLOOKUP(SummaryEncryption[[#This Row],[Mode]],EncFileSummary[#All],15,FALSE)</f>
        <v>20971520</v>
      </c>
      <c r="K15" s="53">
        <f>SummaryEncryption[[#This Row],[Cipher size (B)]]/1000/SummaryEncryption[[#This Row],[Test Size (KB)]]</f>
        <v>2.0971519999999999</v>
      </c>
      <c r="O15" s="54" t="s">
        <v>3</v>
      </c>
      <c r="P15" s="55" t="s">
        <v>12</v>
      </c>
      <c r="Q15" s="51" t="str">
        <f>CONCATENATE(SummaryDecryption[[#This Row],[Mode]],"_",SummaryDecryption[[#This Row],[Key size (B)]])</f>
        <v>CFB_16B</v>
      </c>
      <c r="R15" s="55">
        <v>10000</v>
      </c>
      <c r="S15" s="65">
        <f>SummaryDecryption[[#This Row],[Test Size (KB)]]/SummaryDecryption[[#This Row],[Average (ms)]]</f>
        <v>6.1789643091899391</v>
      </c>
      <c r="T15" s="56">
        <f>HLOOKUP($A15,SumDec16x10[#All],AVG,FALSE)</f>
        <v>1618.3941999999993</v>
      </c>
      <c r="U15" s="56">
        <f>HLOOKUP($A15,SumDec16x10[#All],MIN,FALSE)</f>
        <v>1453.66</v>
      </c>
      <c r="V15" s="56">
        <f>HLOOKUP($A15,SumDec16x10[#All],MAX,FALSE)</f>
        <v>1872.27</v>
      </c>
      <c r="W15" s="56">
        <f>HLOOKUP($A15,SumDec16x10[#All],MED,FALSE)</f>
        <v>1592.42</v>
      </c>
      <c r="X15" s="51">
        <f>VLOOKUP(SummaryEncryption[[#This Row],[Mode]],DecFileSummary[#All],15,FALSE)</f>
        <v>10485760</v>
      </c>
      <c r="Y15" s="53">
        <f>SummaryDecryption[[#This Row],[Plain size (B)]]/1000/SummaryDecryption[[#This Row],[Test Size (KB)]]</f>
        <v>1.048576</v>
      </c>
    </row>
    <row r="16" spans="1:25" ht="17" thickTop="1" thickBot="1">
      <c r="A16" s="54" t="s">
        <v>2</v>
      </c>
      <c r="B16" s="55" t="s">
        <v>12</v>
      </c>
      <c r="C16" s="51" t="str">
        <f>CONCATENATE(SummaryEncryption[[#This Row],[Mode]],"_",SummaryEncryption[[#This Row],[Key size (B)]])</f>
        <v>OFB_16B</v>
      </c>
      <c r="D16" s="55">
        <v>10000</v>
      </c>
      <c r="E16" s="65">
        <f>SummaryEncryption[[#This Row],[Test Size (KB)]]/SummaryEncryption[[#This Row],[Average (ms)]]</f>
        <v>8.1938299640987342</v>
      </c>
      <c r="F16" s="56">
        <f>HLOOKUP($A16,SumEnc16x10[#All],AVG,FALSE)</f>
        <v>1220.4304999999999</v>
      </c>
      <c r="G16" s="56">
        <f>HLOOKUP($A16,SumEnc16x10[#All],MIN,FALSE)</f>
        <v>1161.9299999999998</v>
      </c>
      <c r="H16" s="56">
        <f>HLOOKUP($A16,SumEnc16x10[#All],MAX,FALSE)</f>
        <v>3122.36</v>
      </c>
      <c r="I16" s="56">
        <f>HLOOKUP($A16,SumEnc16x10[#All],MED,FALSE)</f>
        <v>1184.145</v>
      </c>
      <c r="J16" s="51">
        <f>VLOOKUP(SummaryEncryption[[#This Row],[Mode]],EncFileSummary[#All],15,FALSE)</f>
        <v>20971520</v>
      </c>
      <c r="K16" s="53">
        <f>SummaryEncryption[[#This Row],[Cipher size (B)]]/1000/SummaryEncryption[[#This Row],[Test Size (KB)]]</f>
        <v>2.0971519999999999</v>
      </c>
      <c r="O16" s="54" t="s">
        <v>2</v>
      </c>
      <c r="P16" s="55" t="s">
        <v>12</v>
      </c>
      <c r="Q16" s="51" t="str">
        <f>CONCATENATE(SummaryDecryption[[#This Row],[Mode]],"_",SummaryDecryption[[#This Row],[Key size (B)]])</f>
        <v>OFB_16B</v>
      </c>
      <c r="R16" s="55">
        <v>10000</v>
      </c>
      <c r="S16" s="65">
        <f>SummaryDecryption[[#This Row],[Test Size (KB)]]/SummaryDecryption[[#This Row],[Average (ms)]]</f>
        <v>6.4538367704639397</v>
      </c>
      <c r="T16" s="56">
        <f>HLOOKUP($A16,SumDec16x10[#All],AVG,FALSE)</f>
        <v>1549.4658999999997</v>
      </c>
      <c r="U16" s="56">
        <f>HLOOKUP($A16,SumDec16x10[#All],MIN,FALSE)</f>
        <v>1363.03</v>
      </c>
      <c r="V16" s="56">
        <f>HLOOKUP($A16,SumDec16x10[#All],MAX,FALSE)</f>
        <v>1814.28</v>
      </c>
      <c r="W16" s="56">
        <f>HLOOKUP($A16,SumDec16x10[#All],MED,FALSE)</f>
        <v>1533.3600000000001</v>
      </c>
      <c r="X16" s="51">
        <f>VLOOKUP(SummaryEncryption[[#This Row],[Mode]],DecFileSummary[#All],15,FALSE)</f>
        <v>10485760</v>
      </c>
      <c r="Y16" s="53">
        <f>SummaryDecryption[[#This Row],[Plain size (B)]]/1000/SummaryDecryption[[#This Row],[Test Size (KB)]]</f>
        <v>1.048576</v>
      </c>
    </row>
    <row r="17" spans="1:25" ht="17" thickTop="1" thickBot="1">
      <c r="A17" s="54" t="s">
        <v>4</v>
      </c>
      <c r="B17" s="55" t="s">
        <v>12</v>
      </c>
      <c r="C17" s="51" t="str">
        <f>CONCATENATE(SummaryEncryption[[#This Row],[Mode]],"_",SummaryEncryption[[#This Row],[Key size (B)]])</f>
        <v>CTR_16B</v>
      </c>
      <c r="D17" s="55">
        <v>10000</v>
      </c>
      <c r="E17" s="65">
        <f>SummaryEncryption[[#This Row],[Test Size (KB)]]/SummaryEncryption[[#This Row],[Average (ms)]]</f>
        <v>8.4781888418217548</v>
      </c>
      <c r="F17" s="56">
        <f>HLOOKUP($A17,SumEnc16x10[#All],AVG,FALSE)</f>
        <v>1179.4971999999998</v>
      </c>
      <c r="G17" s="56">
        <f>HLOOKUP($A17,SumEnc16x10[#All],MIN,FALSE)</f>
        <v>1151.18</v>
      </c>
      <c r="H17" s="56">
        <f>HLOOKUP($A17,SumEnc16x10[#All],MAX,FALSE)</f>
        <v>1380.16</v>
      </c>
      <c r="I17" s="56">
        <f>HLOOKUP($A17,SumEnc16x10[#All],MED,FALSE)</f>
        <v>1174.365</v>
      </c>
      <c r="J17" s="51">
        <f>VLOOKUP(SummaryEncryption[[#This Row],[Mode]],EncFileSummary[#All],15,FALSE)</f>
        <v>20971520</v>
      </c>
      <c r="K17" s="53">
        <f>SummaryEncryption[[#This Row],[Cipher size (B)]]/1000/SummaryEncryption[[#This Row],[Test Size (KB)]]</f>
        <v>2.0971519999999999</v>
      </c>
      <c r="O17" s="54" t="s">
        <v>4</v>
      </c>
      <c r="P17" s="55" t="s">
        <v>12</v>
      </c>
      <c r="Q17" s="51" t="str">
        <f>CONCATENATE(SummaryDecryption[[#This Row],[Mode]],"_",SummaryDecryption[[#This Row],[Key size (B)]])</f>
        <v>CTR_16B</v>
      </c>
      <c r="R17" s="55">
        <v>10000</v>
      </c>
      <c r="S17" s="65">
        <f>SummaryDecryption[[#This Row],[Test Size (KB)]]/SummaryDecryption[[#This Row],[Average (ms)]]</f>
        <v>6.4894606940179722</v>
      </c>
      <c r="T17" s="56">
        <f>HLOOKUP($A17,SumDec16x10[#All],AVG,FALSE)</f>
        <v>1540.9600999999993</v>
      </c>
      <c r="U17" s="56">
        <f>HLOOKUP($A17,SumDec16x10[#All],MIN,FALSE)</f>
        <v>1389.71</v>
      </c>
      <c r="V17" s="56">
        <f>HLOOKUP($A17,SumDec16x10[#All],MAX,FALSE)</f>
        <v>1834.94</v>
      </c>
      <c r="W17" s="56">
        <f>HLOOKUP($A17,SumDec16x10[#All],MED,FALSE)</f>
        <v>1537.71</v>
      </c>
      <c r="X17" s="51">
        <f>VLOOKUP(SummaryEncryption[[#This Row],[Mode]],DecFileSummary[#All],15,FALSE)</f>
        <v>10485760</v>
      </c>
      <c r="Y17" s="53">
        <f>SummaryDecryption[[#This Row],[Plain size (B)]]/1000/SummaryDecryption[[#This Row],[Test Size (KB)]]</f>
        <v>1.048576</v>
      </c>
    </row>
    <row r="18" spans="1:25" ht="17" thickTop="1" thickBot="1">
      <c r="A18" s="54" t="s">
        <v>0</v>
      </c>
      <c r="B18" s="55" t="s">
        <v>12</v>
      </c>
      <c r="C18" s="51" t="str">
        <f>CONCATENATE(SummaryEncryption[[#This Row],[Mode]],"_",SummaryEncryption[[#This Row],[Key size (B)]])</f>
        <v>ECB_16B</v>
      </c>
      <c r="D18" s="55">
        <v>256000</v>
      </c>
      <c r="E18" s="65">
        <f>SummaryEncryption[[#This Row],[Test Size (KB)]]/SummaryEncryption[[#This Row],[Average (ms)]]</f>
        <v>8.3183586630603976</v>
      </c>
      <c r="F18" s="56">
        <f>HLOOKUP($A18,SumEnc16x256[#All],AVG,FALSE)</f>
        <v>30775.302000000003</v>
      </c>
      <c r="G18" s="56">
        <f>HLOOKUP($A18,SumEnc16x256[#All],MIN,FALSE)</f>
        <v>29935.9</v>
      </c>
      <c r="H18" s="56">
        <f>HLOOKUP($A18,SumEnc16x256[#All],MAX,FALSE)</f>
        <v>34696.300000000003</v>
      </c>
      <c r="I18" s="56">
        <f>HLOOKUP($A18,SumEnc16x256[#All],MED,FALSE)</f>
        <v>30618.199999999997</v>
      </c>
      <c r="J18" s="51">
        <f>VLOOKUP(SummaryEncryption[[#This Row],[Mode]],EncFileSummary[#All],18,FALSE)</f>
        <v>536870944</v>
      </c>
      <c r="K18" s="53">
        <f>SummaryEncryption[[#This Row],[Cipher size (B)]]/1000/SummaryEncryption[[#This Row],[Test Size (KB)]]</f>
        <v>2.097152125</v>
      </c>
      <c r="O18" s="54" t="s">
        <v>0</v>
      </c>
      <c r="P18" s="55" t="s">
        <v>12</v>
      </c>
      <c r="Q18" s="51" t="str">
        <f>CONCATENATE(SummaryDecryption[[#This Row],[Mode]],"_",SummaryDecryption[[#This Row],[Key size (B)]])</f>
        <v>ECB_16B</v>
      </c>
      <c r="R18" s="55">
        <v>256000</v>
      </c>
      <c r="S18" s="65">
        <f>SummaryDecryption[[#This Row],[Test Size (KB)]]/SummaryDecryption[[#This Row],[Average (ms)]]</f>
        <v>12.420113442211157</v>
      </c>
      <c r="T18" s="56">
        <f>HLOOKUP($A18,SumDec16x256[#All],AVG,FALSE)</f>
        <v>20611.727999999992</v>
      </c>
      <c r="U18" s="56">
        <f>HLOOKUP($A18,SumDec16x256[#All],MIN,FALSE)</f>
        <v>17906.099999999999</v>
      </c>
      <c r="V18" s="56">
        <f>HLOOKUP($A18,SumDec16x256[#All],MAX,FALSE)</f>
        <v>39386.5</v>
      </c>
      <c r="W18" s="56">
        <f>HLOOKUP($A18,SumDec16x256[#All],MED,FALSE)</f>
        <v>19718.650000000001</v>
      </c>
      <c r="X18" s="51">
        <f>VLOOKUP(SummaryEncryption[[#This Row],[Mode]],DecFileSummary[#All],18,FALSE)</f>
        <v>268435456</v>
      </c>
      <c r="Y18" s="53">
        <f>SummaryDecryption[[#This Row],[Plain size (B)]]/1000/SummaryDecryption[[#This Row],[Test Size (KB)]]</f>
        <v>1.048576</v>
      </c>
    </row>
    <row r="19" spans="1:25" ht="17" thickTop="1" thickBot="1">
      <c r="A19" s="54" t="s">
        <v>1</v>
      </c>
      <c r="B19" s="55" t="s">
        <v>12</v>
      </c>
      <c r="C19" s="51" t="str">
        <f>CONCATENATE(SummaryEncryption[[#This Row],[Mode]],"_",SummaryEncryption[[#This Row],[Key size (B)]])</f>
        <v>CBC_16B</v>
      </c>
      <c r="D19" s="55">
        <v>256000</v>
      </c>
      <c r="E19" s="65">
        <f>SummaryEncryption[[#This Row],[Test Size (KB)]]/SummaryEncryption[[#This Row],[Average (ms)]]</f>
        <v>8.2866703695566954</v>
      </c>
      <c r="F19" s="56">
        <f>HLOOKUP($A19,SumEnc16x256[#All],AVG,FALSE)</f>
        <v>30892.986999999979</v>
      </c>
      <c r="G19" s="56">
        <f>HLOOKUP($A19,SumEnc16x256[#All],MIN,FALSE)</f>
        <v>30009.599999999999</v>
      </c>
      <c r="H19" s="56">
        <f>HLOOKUP($A19,SumEnc16x256[#All],MAX,FALSE)</f>
        <v>37355.600000000006</v>
      </c>
      <c r="I19" s="56">
        <f>HLOOKUP($A19,SumEnc16x256[#All],MED,FALSE)</f>
        <v>30640.15</v>
      </c>
      <c r="J19" s="51">
        <f>VLOOKUP(SummaryEncryption[[#This Row],[Mode]],EncFileSummary[#All],18,FALSE)</f>
        <v>536870944</v>
      </c>
      <c r="K19" s="53">
        <f>SummaryEncryption[[#This Row],[Cipher size (B)]]/1000/SummaryEncryption[[#This Row],[Test Size (KB)]]</f>
        <v>2.097152125</v>
      </c>
      <c r="O19" s="54" t="s">
        <v>1</v>
      </c>
      <c r="P19" s="55" t="s">
        <v>12</v>
      </c>
      <c r="Q19" s="51" t="str">
        <f>CONCATENATE(SummaryDecryption[[#This Row],[Mode]],"_",SummaryDecryption[[#This Row],[Key size (B)]])</f>
        <v>CBC_16B</v>
      </c>
      <c r="R19" s="55">
        <v>256000</v>
      </c>
      <c r="S19" s="65">
        <f>SummaryDecryption[[#This Row],[Test Size (KB)]]/SummaryDecryption[[#This Row],[Average (ms)]]</f>
        <v>12.452524749392941</v>
      </c>
      <c r="T19" s="56">
        <f>HLOOKUP($A19,SumDec16x256[#All],AVG,FALSE)</f>
        <v>20558.079999999998</v>
      </c>
      <c r="U19" s="56">
        <f>HLOOKUP($A19,SumDec16x256[#All],MIN,FALSE)</f>
        <v>17678.099999999999</v>
      </c>
      <c r="V19" s="56">
        <f>HLOOKUP($A19,SumDec16x256[#All],MAX,FALSE)</f>
        <v>71460.600000000006</v>
      </c>
      <c r="W19" s="56">
        <f>HLOOKUP($A19,SumDec16x256[#All],MED,FALSE)</f>
        <v>19202.650000000001</v>
      </c>
      <c r="X19" s="51">
        <f>VLOOKUP(SummaryEncryption[[#This Row],[Mode]],DecFileSummary[#All],18,FALSE)</f>
        <v>268435456</v>
      </c>
      <c r="Y19" s="53">
        <f>SummaryDecryption[[#This Row],[Plain size (B)]]/1000/SummaryDecryption[[#This Row],[Test Size (KB)]]</f>
        <v>1.048576</v>
      </c>
    </row>
    <row r="20" spans="1:25" ht="17" thickTop="1" thickBot="1">
      <c r="A20" s="54" t="s">
        <v>3</v>
      </c>
      <c r="B20" s="55" t="s">
        <v>12</v>
      </c>
      <c r="C20" s="51" t="str">
        <f>CONCATENATE(SummaryEncryption[[#This Row],[Mode]],"_",SummaryEncryption[[#This Row],[Key size (B)]])</f>
        <v>CFB_16B</v>
      </c>
      <c r="D20" s="55">
        <v>256000</v>
      </c>
      <c r="E20" s="65">
        <f>SummaryEncryption[[#This Row],[Test Size (KB)]]/SummaryEncryption[[#This Row],[Average (ms)]]</f>
        <v>8.2784313265154648</v>
      </c>
      <c r="F20" s="56">
        <f>HLOOKUP($A20,SumEnc16x256[#All],AVG,FALSE)</f>
        <v>30923.732999999993</v>
      </c>
      <c r="G20" s="56">
        <f>HLOOKUP($A20,SumEnc16x256[#All],MIN,FALSE)</f>
        <v>30062.5</v>
      </c>
      <c r="H20" s="56">
        <f>HLOOKUP($A20,SumEnc16x256[#All],MAX,FALSE)</f>
        <v>36343.4</v>
      </c>
      <c r="I20" s="56">
        <f>HLOOKUP($A20,SumEnc16x256[#All],MED,FALSE)</f>
        <v>30695.1</v>
      </c>
      <c r="J20" s="51">
        <f>VLOOKUP(SummaryEncryption[[#This Row],[Mode]],EncFileSummary[#All],18,FALSE)</f>
        <v>536870912</v>
      </c>
      <c r="K20" s="53">
        <f>SummaryEncryption[[#This Row],[Cipher size (B)]]/1000/SummaryEncryption[[#This Row],[Test Size (KB)]]</f>
        <v>2.0971519999999999</v>
      </c>
      <c r="O20" s="54" t="s">
        <v>3</v>
      </c>
      <c r="P20" s="55" t="s">
        <v>12</v>
      </c>
      <c r="Q20" s="51" t="str">
        <f>CONCATENATE(SummaryDecryption[[#This Row],[Mode]],"_",SummaryDecryption[[#This Row],[Key size (B)]])</f>
        <v>CFB_16B</v>
      </c>
      <c r="R20" s="55">
        <v>256000</v>
      </c>
      <c r="S20" s="65">
        <f>SummaryDecryption[[#This Row],[Test Size (KB)]]/SummaryDecryption[[#This Row],[Average (ms)]]</f>
        <v>6.2237951784015664</v>
      </c>
      <c r="T20" s="56">
        <f>HLOOKUP($A20,SumDec16x256[#All],AVG,FALSE)</f>
        <v>41132.458999999981</v>
      </c>
      <c r="U20" s="56">
        <f>HLOOKUP($A20,SumDec16x256[#All],MIN,FALSE)</f>
        <v>39002</v>
      </c>
      <c r="V20" s="56">
        <f>HLOOKUP($A20,SumDec16x256[#All],MAX,FALSE)</f>
        <v>57089</v>
      </c>
      <c r="W20" s="56">
        <f>HLOOKUP($A20,SumDec16x256[#All],MED,FALSE)</f>
        <v>40251.800000000003</v>
      </c>
      <c r="X20" s="51">
        <f>VLOOKUP(SummaryEncryption[[#This Row],[Mode]],DecFileSummary[#All],18,FALSE)</f>
        <v>268435456</v>
      </c>
      <c r="Y20" s="53">
        <f>SummaryDecryption[[#This Row],[Plain size (B)]]/1000/SummaryDecryption[[#This Row],[Test Size (KB)]]</f>
        <v>1.048576</v>
      </c>
    </row>
    <row r="21" spans="1:25" ht="17" thickTop="1" thickBot="1">
      <c r="A21" s="54" t="s">
        <v>2</v>
      </c>
      <c r="B21" s="55" t="s">
        <v>12</v>
      </c>
      <c r="C21" s="51" t="str">
        <f>CONCATENATE(SummaryEncryption[[#This Row],[Mode]],"_",SummaryEncryption[[#This Row],[Key size (B)]])</f>
        <v>OFB_16B</v>
      </c>
      <c r="D21" s="55">
        <v>256000</v>
      </c>
      <c r="E21" s="65">
        <f>SummaryEncryption[[#This Row],[Test Size (KB)]]/SummaryEncryption[[#This Row],[Average (ms)]]</f>
        <v>8.2688738013524503</v>
      </c>
      <c r="F21" s="56">
        <f>HLOOKUP($A21,SumEnc16x256[#All],AVG,FALSE)</f>
        <v>30959.476000000006</v>
      </c>
      <c r="G21" s="56">
        <f>HLOOKUP($A21,SumEnc16x256[#All],MIN,FALSE)</f>
        <v>30116.1</v>
      </c>
      <c r="H21" s="56">
        <f>HLOOKUP($A21,SumEnc16x256[#All],MAX,FALSE)</f>
        <v>32570.500000000004</v>
      </c>
      <c r="I21" s="56">
        <f>HLOOKUP($A21,SumEnc16x256[#All],MED,FALSE)</f>
        <v>30851.15</v>
      </c>
      <c r="J21" s="51">
        <f>VLOOKUP(SummaryEncryption[[#This Row],[Mode]],EncFileSummary[#All],18,FALSE)</f>
        <v>536870912</v>
      </c>
      <c r="K21" s="53">
        <f>SummaryEncryption[[#This Row],[Cipher size (B)]]/1000/SummaryEncryption[[#This Row],[Test Size (KB)]]</f>
        <v>2.0971519999999999</v>
      </c>
      <c r="O21" s="54" t="s">
        <v>2</v>
      </c>
      <c r="P21" s="55" t="s">
        <v>12</v>
      </c>
      <c r="Q21" s="51" t="str">
        <f>CONCATENATE(SummaryDecryption[[#This Row],[Mode]],"_",SummaryDecryption[[#This Row],[Key size (B)]])</f>
        <v>OFB_16B</v>
      </c>
      <c r="R21" s="55">
        <v>256000</v>
      </c>
      <c r="S21" s="65">
        <f>SummaryDecryption[[#This Row],[Test Size (KB)]]/SummaryDecryption[[#This Row],[Average (ms)]]</f>
        <v>6.3693922042321711</v>
      </c>
      <c r="T21" s="56">
        <f>HLOOKUP($A21,SumDec16x256[#All],AVG,FALSE)</f>
        <v>40192.218000000008</v>
      </c>
      <c r="U21" s="56">
        <f>HLOOKUP($A21,SumDec16x256[#All],MIN,FALSE)</f>
        <v>37372.5</v>
      </c>
      <c r="V21" s="56">
        <f>HLOOKUP($A21,SumDec16x256[#All],MAX,FALSE)</f>
        <v>84828.4</v>
      </c>
      <c r="W21" s="56">
        <f>HLOOKUP($A21,SumDec16x256[#All],MED,FALSE)</f>
        <v>38461.199999999997</v>
      </c>
      <c r="X21" s="51">
        <f>VLOOKUP(SummaryEncryption[[#This Row],[Mode]],DecFileSummary[#All],18,FALSE)</f>
        <v>268435456</v>
      </c>
      <c r="Y21" s="53">
        <f>SummaryDecryption[[#This Row],[Plain size (B)]]/1000/SummaryDecryption[[#This Row],[Test Size (KB)]]</f>
        <v>1.048576</v>
      </c>
    </row>
    <row r="22" spans="1:25" ht="17" thickTop="1" thickBot="1">
      <c r="A22" s="54" t="s">
        <v>4</v>
      </c>
      <c r="B22" s="55" t="s">
        <v>12</v>
      </c>
      <c r="C22" s="51" t="str">
        <f>CONCATENATE(SummaryEncryption[[#This Row],[Mode]],"_",SummaryEncryption[[#This Row],[Key size (B)]])</f>
        <v>CTR_16B</v>
      </c>
      <c r="D22" s="55">
        <v>256000</v>
      </c>
      <c r="E22" s="65">
        <f>SummaryEncryption[[#This Row],[Test Size (KB)]]/SummaryEncryption[[#This Row],[Average (ms)]]</f>
        <v>8.3119195881521755</v>
      </c>
      <c r="F22" s="56">
        <f>HLOOKUP($A22,SumEnc16x256[#All],AVG,FALSE)</f>
        <v>30799.143000000007</v>
      </c>
      <c r="G22" s="56">
        <f>HLOOKUP($A22,SumEnc16x256[#All],MIN,FALSE)</f>
        <v>29929.300000000003</v>
      </c>
      <c r="H22" s="56">
        <f>HLOOKUP($A22,SumEnc16x256[#All],MAX,FALSE)</f>
        <v>33470.400000000001</v>
      </c>
      <c r="I22" s="56">
        <f>HLOOKUP($A22,SumEnc16x256[#All],MED,FALSE)</f>
        <v>30602.6</v>
      </c>
      <c r="J22" s="51">
        <f>VLOOKUP(SummaryEncryption[[#This Row],[Mode]],EncFileSummary[#All],18,FALSE)</f>
        <v>536870912</v>
      </c>
      <c r="K22" s="53">
        <f>SummaryEncryption[[#This Row],[Cipher size (B)]]/1000/SummaryEncryption[[#This Row],[Test Size (KB)]]</f>
        <v>2.0971519999999999</v>
      </c>
      <c r="O22" s="54" t="s">
        <v>4</v>
      </c>
      <c r="P22" s="55" t="s">
        <v>12</v>
      </c>
      <c r="Q22" s="51" t="str">
        <f>CONCATENATE(SummaryDecryption[[#This Row],[Mode]],"_",SummaryDecryption[[#This Row],[Key size (B)]])</f>
        <v>CTR_16B</v>
      </c>
      <c r="R22" s="55">
        <v>256000</v>
      </c>
      <c r="S22" s="65">
        <f>SummaryDecryption[[#This Row],[Test Size (KB)]]/SummaryDecryption[[#This Row],[Average (ms)]]</f>
        <v>6.3782333220534948</v>
      </c>
      <c r="T22" s="56">
        <f>HLOOKUP($A22,SumDec16x256[#All],AVG,FALSE)</f>
        <v>40136.505999999994</v>
      </c>
      <c r="U22" s="56">
        <f>HLOOKUP($A22,SumDec16x256[#All],MIN,FALSE)</f>
        <v>37443.199999999997</v>
      </c>
      <c r="V22" s="56">
        <f>HLOOKUP($A22,SumDec16x256[#All],MAX,FALSE)</f>
        <v>60407.4</v>
      </c>
      <c r="W22" s="56">
        <f>HLOOKUP($A22,SumDec16x256[#All],MED,FALSE)</f>
        <v>38712.699999999997</v>
      </c>
      <c r="X22" s="51">
        <f>VLOOKUP(SummaryEncryption[[#This Row],[Mode]],DecFileSummary[#All],18,FALSE)</f>
        <v>268435456</v>
      </c>
      <c r="Y22" s="53">
        <f>SummaryDecryption[[#This Row],[Plain size (B)]]/1000/SummaryDecryption[[#This Row],[Test Size (KB)]]</f>
        <v>1.048576</v>
      </c>
    </row>
    <row r="23" spans="1:25" ht="17" thickTop="1" thickBot="1">
      <c r="A23" s="54" t="s">
        <v>0</v>
      </c>
      <c r="B23" s="55" t="s">
        <v>14</v>
      </c>
      <c r="C23" s="51" t="str">
        <f>CONCATENATE(SummaryEncryption[[#This Row],[Mode]],"_",SummaryEncryption[[#This Row],[Key size (B)]])</f>
        <v>ECB_24B</v>
      </c>
      <c r="D23" s="51">
        <v>1000</v>
      </c>
      <c r="E23" s="65">
        <f>SummaryEncryption[[#This Row],[Test Size (KB)]]/SummaryEncryption[[#This Row],[Average (ms)]]</f>
        <v>8.3800591464574552</v>
      </c>
      <c r="F23" s="56">
        <f>HLOOKUP($A23,SumEnc24x16[#All],AVG,FALSE)</f>
        <v>119.3309</v>
      </c>
      <c r="G23" s="56">
        <f>HLOOKUP($A23,SumEnc24x16[#All],MIN,FALSE)</f>
        <v>114.81</v>
      </c>
      <c r="H23" s="56">
        <f>HLOOKUP($A23,SumEnc24x16[#All],MAX,FALSE)</f>
        <v>147.434</v>
      </c>
      <c r="I23" s="56">
        <f>HLOOKUP($A23,SumEnc24x16[#All],MED,FALSE)</f>
        <v>116.18600000000001</v>
      </c>
      <c r="J23" s="51">
        <f>VLOOKUP(SummaryEncryption[[#This Row],[Mode]],EncFileSummary[#All],10,FALSE)</f>
        <v>2097152</v>
      </c>
      <c r="K23" s="53">
        <f>SummaryEncryption[[#This Row],[Cipher size (B)]]/1000/SummaryEncryption[[#This Row],[Test Size (KB)]]</f>
        <v>2.0971519999999999</v>
      </c>
      <c r="O23" s="54" t="s">
        <v>0</v>
      </c>
      <c r="P23" s="55" t="s">
        <v>14</v>
      </c>
      <c r="Q23" s="51" t="str">
        <f>CONCATENATE(SummaryDecryption[[#This Row],[Mode]],"_",SummaryDecryption[[#This Row],[Key size (B)]])</f>
        <v>ECB_24B</v>
      </c>
      <c r="R23" s="51">
        <v>1000</v>
      </c>
      <c r="S23" s="65">
        <f>SummaryDecryption[[#This Row],[Test Size (KB)]]/SummaryDecryption[[#This Row],[Average (ms)]]</f>
        <v>15.298089391019781</v>
      </c>
      <c r="T23" s="56">
        <f>HLOOKUP($A23,SumDec24x16[#All],AVG,FALSE)</f>
        <v>65.36763999999998</v>
      </c>
      <c r="U23" s="56">
        <f>HLOOKUP($A23,SumDec24x16[#All],MIN,FALSE)</f>
        <v>63.582999999999998</v>
      </c>
      <c r="V23" s="56">
        <f>HLOOKUP($A23,SumDec24x16[#All],MAX,FALSE)</f>
        <v>91.540999999999997</v>
      </c>
      <c r="W23" s="56">
        <f>HLOOKUP($A23,SumDec24x16[#All],MED,FALSE)</f>
        <v>64.298500000000004</v>
      </c>
      <c r="X23" s="51">
        <f>VLOOKUP(SummaryEncryption[[#This Row],[Mode]],DecFileSummary[#All],10,FALSE)</f>
        <v>1048576</v>
      </c>
      <c r="Y23" s="53">
        <f>SummaryDecryption[[#This Row],[Plain size (B)]]/1000/SummaryDecryption[[#This Row],[Test Size (KB)]]</f>
        <v>1.048576</v>
      </c>
    </row>
    <row r="24" spans="1:25" ht="17" thickTop="1" thickBot="1">
      <c r="A24" s="54" t="s">
        <v>1</v>
      </c>
      <c r="B24" s="55" t="s">
        <v>14</v>
      </c>
      <c r="C24" s="51" t="str">
        <f>CONCATENATE(SummaryEncryption[[#This Row],[Mode]],"_",SummaryEncryption[[#This Row],[Key size (B)]])</f>
        <v>CBC_24B</v>
      </c>
      <c r="D24" s="51">
        <v>1000</v>
      </c>
      <c r="E24" s="65">
        <f>SummaryEncryption[[#This Row],[Test Size (KB)]]/SummaryEncryption[[#This Row],[Average (ms)]]</f>
        <v>8.3744259435696016</v>
      </c>
      <c r="F24" s="56">
        <f>HLOOKUP($A24,SumEnc24x16[#All],AVG,FALSE)</f>
        <v>119.41116999999998</v>
      </c>
      <c r="G24" s="56">
        <f>HLOOKUP($A24,SumEnc24x16[#All],MIN,FALSE)</f>
        <v>114.64</v>
      </c>
      <c r="H24" s="56">
        <f>HLOOKUP($A24,SumEnc24x16[#All],MAX,FALSE)</f>
        <v>153.27599999999998</v>
      </c>
      <c r="I24" s="56">
        <f>HLOOKUP($A24,SumEnc24x16[#All],MED,FALSE)</f>
        <v>115.86150000000001</v>
      </c>
      <c r="J24" s="51">
        <f>VLOOKUP(SummaryEncryption[[#This Row],[Mode]],EncFileSummary[#All],10,FALSE)</f>
        <v>2097184</v>
      </c>
      <c r="K24" s="53">
        <f>SummaryEncryption[[#This Row],[Cipher size (B)]]/1000/SummaryEncryption[[#This Row],[Test Size (KB)]]</f>
        <v>2.0971840000000004</v>
      </c>
      <c r="O24" s="54" t="s">
        <v>1</v>
      </c>
      <c r="P24" s="55" t="s">
        <v>14</v>
      </c>
      <c r="Q24" s="51" t="str">
        <f>CONCATENATE(SummaryDecryption[[#This Row],[Mode]],"_",SummaryDecryption[[#This Row],[Key size (B)]])</f>
        <v>CBC_24B</v>
      </c>
      <c r="R24" s="51">
        <v>1000</v>
      </c>
      <c r="S24" s="65">
        <f>SummaryDecryption[[#This Row],[Test Size (KB)]]/SummaryDecryption[[#This Row],[Average (ms)]]</f>
        <v>15.334142464917397</v>
      </c>
      <c r="T24" s="56">
        <f>HLOOKUP($A24,SumDec24x16[#All],AVG,FALSE)</f>
        <v>65.213950000000011</v>
      </c>
      <c r="U24" s="56">
        <f>HLOOKUP($A24,SumDec24x16[#All],MIN,FALSE)</f>
        <v>63.917000000000002</v>
      </c>
      <c r="V24" s="56">
        <f>HLOOKUP($A24,SumDec24x16[#All],MAX,FALSE)</f>
        <v>92.831000000000003</v>
      </c>
      <c r="W24" s="56">
        <f>HLOOKUP($A24,SumDec24x16[#All],MED,FALSE)</f>
        <v>64.37</v>
      </c>
      <c r="X24" s="51">
        <f>VLOOKUP(SummaryEncryption[[#This Row],[Mode]],DecFileSummary[#All],10,FALSE)</f>
        <v>1048576</v>
      </c>
      <c r="Y24" s="53">
        <f>SummaryDecryption[[#This Row],[Plain size (B)]]/1000/SummaryDecryption[[#This Row],[Test Size (KB)]]</f>
        <v>1.048576</v>
      </c>
    </row>
    <row r="25" spans="1:25" ht="17" thickTop="1" thickBot="1">
      <c r="A25" s="54" t="s">
        <v>3</v>
      </c>
      <c r="B25" s="55" t="s">
        <v>14</v>
      </c>
      <c r="C25" s="51" t="str">
        <f>CONCATENATE(SummaryEncryption[[#This Row],[Mode]],"_",SummaryEncryption[[#This Row],[Key size (B)]])</f>
        <v>CFB_24B</v>
      </c>
      <c r="D25" s="51">
        <v>1000</v>
      </c>
      <c r="E25" s="65">
        <f>SummaryEncryption[[#This Row],[Test Size (KB)]]/SummaryEncryption[[#This Row],[Average (ms)]]</f>
        <v>8.3161210418070528</v>
      </c>
      <c r="F25" s="56">
        <f>HLOOKUP($A25,SumEnc24x16[#All],AVG,FALSE)</f>
        <v>120.24836999999999</v>
      </c>
      <c r="G25" s="56">
        <f>HLOOKUP($A25,SumEnc24x16[#All],MIN,FALSE)</f>
        <v>115.059</v>
      </c>
      <c r="H25" s="56">
        <f>HLOOKUP($A25,SumEnc24x16[#All],MAX,FALSE)</f>
        <v>164.38200000000001</v>
      </c>
      <c r="I25" s="56">
        <f>HLOOKUP($A25,SumEnc24x16[#All],MED,FALSE)</f>
        <v>116.27500000000001</v>
      </c>
      <c r="J25" s="51">
        <f>VLOOKUP(SummaryEncryption[[#This Row],[Mode]],EncFileSummary[#All],10,FALSE)</f>
        <v>2097152</v>
      </c>
      <c r="K25" s="53">
        <f>SummaryEncryption[[#This Row],[Cipher size (B)]]/1000/SummaryEncryption[[#This Row],[Test Size (KB)]]</f>
        <v>2.0971519999999999</v>
      </c>
      <c r="O25" s="54" t="s">
        <v>3</v>
      </c>
      <c r="P25" s="55" t="s">
        <v>14</v>
      </c>
      <c r="Q25" s="51" t="str">
        <f>CONCATENATE(SummaryDecryption[[#This Row],[Mode]],"_",SummaryDecryption[[#This Row],[Key size (B)]])</f>
        <v>CFB_24B</v>
      </c>
      <c r="R25" s="51">
        <v>1000</v>
      </c>
      <c r="S25" s="65">
        <f>SummaryDecryption[[#This Row],[Test Size (KB)]]/SummaryDecryption[[#This Row],[Average (ms)]]</f>
        <v>5.243077185069458</v>
      </c>
      <c r="T25" s="56">
        <f>HLOOKUP($A25,SumDec24x16[#All],AVG,FALSE)</f>
        <v>190.72768999999997</v>
      </c>
      <c r="U25" s="56">
        <f>HLOOKUP($A25,SumDec24x16[#All],MIN,FALSE)</f>
        <v>186.77099999999999</v>
      </c>
      <c r="V25" s="56">
        <f>HLOOKUP($A25,SumDec24x16[#All],MAX,FALSE)</f>
        <v>217.685</v>
      </c>
      <c r="W25" s="56">
        <f>HLOOKUP($A25,SumDec24x16[#All],MED,FALSE)</f>
        <v>187.98050000000001</v>
      </c>
      <c r="X25" s="51">
        <f>VLOOKUP(SummaryEncryption[[#This Row],[Mode]],DecFileSummary[#All],10,FALSE)</f>
        <v>1048576</v>
      </c>
      <c r="Y25" s="53">
        <f>SummaryDecryption[[#This Row],[Plain size (B)]]/1000/SummaryDecryption[[#This Row],[Test Size (KB)]]</f>
        <v>1.048576</v>
      </c>
    </row>
    <row r="26" spans="1:25" ht="17" thickTop="1" thickBot="1">
      <c r="A26" s="54" t="s">
        <v>2</v>
      </c>
      <c r="B26" s="55" t="s">
        <v>14</v>
      </c>
      <c r="C26" s="51" t="str">
        <f>CONCATENATE(SummaryEncryption[[#This Row],[Mode]],"_",SummaryEncryption[[#This Row],[Key size (B)]])</f>
        <v>OFB_24B</v>
      </c>
      <c r="D26" s="51">
        <v>1000</v>
      </c>
      <c r="E26" s="65">
        <f>SummaryEncryption[[#This Row],[Test Size (KB)]]/SummaryEncryption[[#This Row],[Average (ms)]]</f>
        <v>8.3812405040545102</v>
      </c>
      <c r="F26" s="56">
        <f>HLOOKUP($A26,SumEnc24x16[#All],AVG,FALSE)</f>
        <v>119.31407999999999</v>
      </c>
      <c r="G26" s="56">
        <f>HLOOKUP($A26,SumEnc24x16[#All],MIN,FALSE)</f>
        <v>115.18299999999999</v>
      </c>
      <c r="H26" s="56">
        <f>HLOOKUP($A26,SumEnc24x16[#All],MAX,FALSE)</f>
        <v>138.54400000000001</v>
      </c>
      <c r="I26" s="56">
        <f>HLOOKUP($A26,SumEnc24x16[#All],MED,FALSE)</f>
        <v>116.2265</v>
      </c>
      <c r="J26" s="51">
        <f>VLOOKUP(SummaryEncryption[[#This Row],[Mode]],EncFileSummary[#All],10,FALSE)</f>
        <v>2097184</v>
      </c>
      <c r="K26" s="53">
        <f>SummaryEncryption[[#This Row],[Cipher size (B)]]/1000/SummaryEncryption[[#This Row],[Test Size (KB)]]</f>
        <v>2.0971840000000004</v>
      </c>
      <c r="O26" s="54" t="s">
        <v>2</v>
      </c>
      <c r="P26" s="55" t="s">
        <v>14</v>
      </c>
      <c r="Q26" s="51" t="str">
        <f>CONCATENATE(SummaryDecryption[[#This Row],[Mode]],"_",SummaryDecryption[[#This Row],[Key size (B)]])</f>
        <v>OFB_24B</v>
      </c>
      <c r="R26" s="51">
        <v>1000</v>
      </c>
      <c r="S26" s="65">
        <f>SummaryDecryption[[#This Row],[Test Size (KB)]]/SummaryDecryption[[#This Row],[Average (ms)]]</f>
        <v>7.041596966592695</v>
      </c>
      <c r="T26" s="56">
        <f>HLOOKUP($A26,SumDec24x16[#All],AVG,FALSE)</f>
        <v>142.01323999999994</v>
      </c>
      <c r="U26" s="56">
        <f>HLOOKUP($A26,SumDec24x16[#All],MIN,FALSE)</f>
        <v>138.87700000000001</v>
      </c>
      <c r="V26" s="56">
        <f>HLOOKUP($A26,SumDec24x16[#All],MAX,FALSE)</f>
        <v>175.601</v>
      </c>
      <c r="W26" s="56">
        <f>HLOOKUP($A26,SumDec24x16[#All],MED,FALSE)</f>
        <v>140.697</v>
      </c>
      <c r="X26" s="51">
        <f>VLOOKUP(SummaryEncryption[[#This Row],[Mode]],DecFileSummary[#All],10,FALSE)</f>
        <v>1048576</v>
      </c>
      <c r="Y26" s="53">
        <f>SummaryDecryption[[#This Row],[Plain size (B)]]/1000/SummaryDecryption[[#This Row],[Test Size (KB)]]</f>
        <v>1.048576</v>
      </c>
    </row>
    <row r="27" spans="1:25" ht="17" thickTop="1" thickBot="1">
      <c r="A27" s="54" t="s">
        <v>4</v>
      </c>
      <c r="B27" s="55" t="s">
        <v>14</v>
      </c>
      <c r="C27" s="51" t="str">
        <f>CONCATENATE(SummaryEncryption[[#This Row],[Mode]],"_",SummaryEncryption[[#This Row],[Key size (B)]])</f>
        <v>CTR_24B</v>
      </c>
      <c r="D27" s="51">
        <v>1000</v>
      </c>
      <c r="E27" s="65">
        <f>SummaryEncryption[[#This Row],[Test Size (KB)]]/SummaryEncryption[[#This Row],[Average (ms)]]</f>
        <v>8.4033740555237824</v>
      </c>
      <c r="F27" s="56">
        <f>HLOOKUP($A27,SumEnc24x16[#All],AVG,FALSE)</f>
        <v>118.99982</v>
      </c>
      <c r="G27" s="56">
        <f>HLOOKUP($A27,SumEnc24x16[#All],MIN,FALSE)</f>
        <v>114.58500000000001</v>
      </c>
      <c r="H27" s="56">
        <f>HLOOKUP($A27,SumEnc24x16[#All],MAX,FALSE)</f>
        <v>158.452</v>
      </c>
      <c r="I27" s="56">
        <f>HLOOKUP($A27,SumEnc24x16[#All],MED,FALSE)</f>
        <v>115.901</v>
      </c>
      <c r="J27" s="51">
        <f>VLOOKUP(SummaryEncryption[[#This Row],[Mode]],EncFileSummary[#All],10,FALSE)</f>
        <v>2097152</v>
      </c>
      <c r="K27" s="53">
        <f>SummaryEncryption[[#This Row],[Cipher size (B)]]/1000/SummaryEncryption[[#This Row],[Test Size (KB)]]</f>
        <v>2.0971519999999999</v>
      </c>
      <c r="O27" s="54" t="s">
        <v>4</v>
      </c>
      <c r="P27" s="55" t="s">
        <v>14</v>
      </c>
      <c r="Q27" s="51" t="str">
        <f>CONCATENATE(SummaryDecryption[[#This Row],[Mode]],"_",SummaryDecryption[[#This Row],[Key size (B)]])</f>
        <v>CTR_24B</v>
      </c>
      <c r="R27" s="51">
        <v>1000</v>
      </c>
      <c r="S27" s="65">
        <f>SummaryDecryption[[#This Row],[Test Size (KB)]]/SummaryDecryption[[#This Row],[Average (ms)]]</f>
        <v>7.064541153460131</v>
      </c>
      <c r="T27" s="56">
        <f>HLOOKUP($A27,SumDec24x16[#All],AVG,FALSE)</f>
        <v>141.55201</v>
      </c>
      <c r="U27" s="56">
        <f>HLOOKUP($A27,SumDec24x16[#All],MIN,FALSE)</f>
        <v>139.572</v>
      </c>
      <c r="V27" s="56">
        <f>HLOOKUP($A27,SumDec24x16[#All],MAX,FALSE)</f>
        <v>164.38499999999999</v>
      </c>
      <c r="W27" s="56">
        <f>HLOOKUP($A27,SumDec24x16[#All],MED,FALSE)</f>
        <v>140.42449999999999</v>
      </c>
      <c r="X27" s="51">
        <f>VLOOKUP(SummaryEncryption[[#This Row],[Mode]],DecFileSummary[#All],10,FALSE)</f>
        <v>1048576</v>
      </c>
      <c r="Y27" s="53">
        <f>SummaryDecryption[[#This Row],[Plain size (B)]]/1000/SummaryDecryption[[#This Row],[Test Size (KB)]]</f>
        <v>1.048576</v>
      </c>
    </row>
    <row r="28" spans="1:25" ht="17" thickTop="1" thickBot="1">
      <c r="A28" s="54" t="s">
        <v>0</v>
      </c>
      <c r="B28" s="55" t="s">
        <v>14</v>
      </c>
      <c r="C28" s="51" t="str">
        <f>CONCATENATE(SummaryEncryption[[#This Row],[Mode]],"_",SummaryEncryption[[#This Row],[Key size (B)]])</f>
        <v>ECB_24B</v>
      </c>
      <c r="D28" s="55">
        <v>5000</v>
      </c>
      <c r="E28" s="65">
        <f>SummaryEncryption[[#This Row],[Test Size (KB)]]/SummaryEncryption[[#This Row],[Average (ms)]]</f>
        <v>8.4529993456364139</v>
      </c>
      <c r="F28" s="56">
        <f>HLOOKUP($A28,SumEnc24x32[#All],AVG,FALSE)</f>
        <v>591.50602000000003</v>
      </c>
      <c r="G28" s="56">
        <f>HLOOKUP($A28,SumEnc24x32[#All],MIN,FALSE)</f>
        <v>580.42399999999998</v>
      </c>
      <c r="H28" s="56">
        <f>HLOOKUP($A28,SumEnc24x32[#All],MAX,FALSE)</f>
        <v>677.19299999999998</v>
      </c>
      <c r="I28" s="56">
        <f>HLOOKUP($A28,SumEnc24x32[#All],MED,FALSE)</f>
        <v>583.22299999999996</v>
      </c>
      <c r="J28" s="51">
        <f>VLOOKUP(SummaryEncryption[[#This Row],[Mode]],EncFileSummary[#All],13,FALSE)</f>
        <v>10485792</v>
      </c>
      <c r="K28" s="53">
        <f>SummaryEncryption[[#This Row],[Cipher size (B)]]/1000/SummaryEncryption[[#This Row],[Test Size (KB)]]</f>
        <v>2.0971584000000001</v>
      </c>
      <c r="O28" s="54" t="s">
        <v>0</v>
      </c>
      <c r="P28" s="55" t="s">
        <v>14</v>
      </c>
      <c r="Q28" s="51" t="str">
        <f>CONCATENATE(SummaryDecryption[[#This Row],[Mode]],"_",SummaryDecryption[[#This Row],[Key size (B)]])</f>
        <v>ECB_24B</v>
      </c>
      <c r="R28" s="55">
        <v>5000</v>
      </c>
      <c r="S28" s="65">
        <f>SummaryDecryption[[#This Row],[Test Size (KB)]]/SummaryDecryption[[#This Row],[Average (ms)]]</f>
        <v>14.030893220693326</v>
      </c>
      <c r="T28" s="56">
        <f>HLOOKUP($A28,SumDec24x32[#All],AVG,FALSE)</f>
        <v>356.35649999999993</v>
      </c>
      <c r="U28" s="56">
        <f>HLOOKUP($A28,SumDec24x32[#All],MIN,FALSE)</f>
        <v>320.31299999999999</v>
      </c>
      <c r="V28" s="56">
        <f>HLOOKUP($A28,SumDec24x32[#All],MAX,FALSE)</f>
        <v>469.678</v>
      </c>
      <c r="W28" s="56">
        <f>HLOOKUP($A28,SumDec24x32[#All],MED,FALSE)</f>
        <v>344.21800000000002</v>
      </c>
      <c r="X28" s="51">
        <f>VLOOKUP(SummaryEncryption[[#This Row],[Mode]],DecFileSummary[#All],13,FALSE)</f>
        <v>5242880</v>
      </c>
      <c r="Y28" s="53">
        <f>SummaryDecryption[[#This Row],[Plain size (B)]]/1000/SummaryDecryption[[#This Row],[Test Size (KB)]]</f>
        <v>1.048576</v>
      </c>
    </row>
    <row r="29" spans="1:25" ht="17" thickTop="1" thickBot="1">
      <c r="A29" s="54" t="s">
        <v>1</v>
      </c>
      <c r="B29" s="55" t="s">
        <v>14</v>
      </c>
      <c r="C29" s="51" t="str">
        <f>CONCATENATE(SummaryEncryption[[#This Row],[Mode]],"_",SummaryEncryption[[#This Row],[Key size (B)]])</f>
        <v>CBC_24B</v>
      </c>
      <c r="D29" s="55">
        <v>5000</v>
      </c>
      <c r="E29" s="65">
        <f>SummaryEncryption[[#This Row],[Test Size (KB)]]/SummaryEncryption[[#This Row],[Average (ms)]]</f>
        <v>8.4598552627050658</v>
      </c>
      <c r="F29" s="56">
        <f>HLOOKUP($A29,SumEnc24x32[#All],AVG,FALSE)</f>
        <v>591.02666000000022</v>
      </c>
      <c r="G29" s="56">
        <f>HLOOKUP($A29,SumEnc24x32[#All],MIN,FALSE)</f>
        <v>581.197</v>
      </c>
      <c r="H29" s="56">
        <f>HLOOKUP($A29,SumEnc24x32[#All],MAX,FALSE)</f>
        <v>652.86299999999994</v>
      </c>
      <c r="I29" s="56">
        <f>HLOOKUP($A29,SumEnc24x32[#All],MED,FALSE)</f>
        <v>584.16949999999997</v>
      </c>
      <c r="J29" s="51">
        <f>VLOOKUP(SummaryEncryption[[#This Row],[Mode]],EncFileSummary[#All],13,FALSE)</f>
        <v>10485792</v>
      </c>
      <c r="K29" s="53">
        <f>SummaryEncryption[[#This Row],[Cipher size (B)]]/1000/SummaryEncryption[[#This Row],[Test Size (KB)]]</f>
        <v>2.0971584000000001</v>
      </c>
      <c r="O29" s="54" t="s">
        <v>1</v>
      </c>
      <c r="P29" s="55" t="s">
        <v>14</v>
      </c>
      <c r="Q29" s="51" t="str">
        <f>CONCATENATE(SummaryDecryption[[#This Row],[Mode]],"_",SummaryDecryption[[#This Row],[Key size (B)]])</f>
        <v>CBC_24B</v>
      </c>
      <c r="R29" s="55">
        <v>5000</v>
      </c>
      <c r="S29" s="65">
        <f>SummaryDecryption[[#This Row],[Test Size (KB)]]/SummaryDecryption[[#This Row],[Average (ms)]]</f>
        <v>14.081942938615347</v>
      </c>
      <c r="T29" s="56">
        <f>HLOOKUP($A29,SumDec24x32[#All],AVG,FALSE)</f>
        <v>355.06464</v>
      </c>
      <c r="U29" s="56">
        <f>HLOOKUP($A29,SumDec24x32[#All],MIN,FALSE)</f>
        <v>326.17399999999998</v>
      </c>
      <c r="V29" s="56">
        <f>HLOOKUP($A29,SumDec24x32[#All],MAX,FALSE)</f>
        <v>538.86300000000006</v>
      </c>
      <c r="W29" s="56">
        <f>HLOOKUP($A29,SumDec24x32[#All],MED,FALSE)</f>
        <v>346.00799999999998</v>
      </c>
      <c r="X29" s="51">
        <f>VLOOKUP(SummaryEncryption[[#This Row],[Mode]],DecFileSummary[#All],13,FALSE)</f>
        <v>5242880</v>
      </c>
      <c r="Y29" s="53">
        <f>SummaryDecryption[[#This Row],[Plain size (B)]]/1000/SummaryDecryption[[#This Row],[Test Size (KB)]]</f>
        <v>1.048576</v>
      </c>
    </row>
    <row r="30" spans="1:25" ht="17" thickTop="1" thickBot="1">
      <c r="A30" s="54" t="s">
        <v>3</v>
      </c>
      <c r="B30" s="55" t="s">
        <v>14</v>
      </c>
      <c r="C30" s="51" t="str">
        <f>CONCATENATE(SummaryEncryption[[#This Row],[Mode]],"_",SummaryEncryption[[#This Row],[Key size (B)]])</f>
        <v>CFB_24B</v>
      </c>
      <c r="D30" s="55">
        <v>5000</v>
      </c>
      <c r="E30" s="65">
        <f>SummaryEncryption[[#This Row],[Test Size (KB)]]/SummaryEncryption[[#This Row],[Average (ms)]]</f>
        <v>8.4336456447253898</v>
      </c>
      <c r="F30" s="56">
        <f>HLOOKUP($A30,SumEnc24x32[#All],AVG,FALSE)</f>
        <v>592.86342000000002</v>
      </c>
      <c r="G30" s="56">
        <f>HLOOKUP($A30,SumEnc24x32[#All],MIN,FALSE)</f>
        <v>581.399</v>
      </c>
      <c r="H30" s="56">
        <f>HLOOKUP($A30,SumEnc24x32[#All],MAX,FALSE)</f>
        <v>674.01299999999992</v>
      </c>
      <c r="I30" s="56">
        <f>HLOOKUP($A30,SumEnc24x32[#All],MED,FALSE)</f>
        <v>584.32950000000005</v>
      </c>
      <c r="J30" s="51">
        <f>VLOOKUP(SummaryEncryption[[#This Row],[Mode]],EncFileSummary[#All],13,FALSE)</f>
        <v>10485760</v>
      </c>
      <c r="K30" s="53">
        <f>SummaryEncryption[[#This Row],[Cipher size (B)]]/1000/SummaryEncryption[[#This Row],[Test Size (KB)]]</f>
        <v>2.0971519999999999</v>
      </c>
      <c r="O30" s="54" t="s">
        <v>3</v>
      </c>
      <c r="P30" s="55" t="s">
        <v>14</v>
      </c>
      <c r="Q30" s="51" t="str">
        <f>CONCATENATE(SummaryDecryption[[#This Row],[Mode]],"_",SummaryDecryption[[#This Row],[Key size (B)]])</f>
        <v>CFB_24B</v>
      </c>
      <c r="R30" s="55">
        <v>5000</v>
      </c>
      <c r="S30" s="65">
        <f>SummaryDecryption[[#This Row],[Test Size (KB)]]/SummaryDecryption[[#This Row],[Average (ms)]]</f>
        <v>6.2846106865304945</v>
      </c>
      <c r="T30" s="56">
        <f>HLOOKUP($A30,SumDec24x32[#All],AVG,FALSE)</f>
        <v>795.59422999999992</v>
      </c>
      <c r="U30" s="56">
        <f>HLOOKUP($A30,SumDec24x32[#All],MIN,FALSE)</f>
        <v>730.33600000000001</v>
      </c>
      <c r="V30" s="56">
        <f>HLOOKUP($A30,SumDec24x32[#All],MAX,FALSE)</f>
        <v>1150.8499999999999</v>
      </c>
      <c r="W30" s="56">
        <f>HLOOKUP($A30,SumDec24x32[#All],MED,FALSE)</f>
        <v>779.39750000000004</v>
      </c>
      <c r="X30" s="51">
        <f>VLOOKUP(SummaryEncryption[[#This Row],[Mode]],DecFileSummary[#All],13,FALSE)</f>
        <v>5242880</v>
      </c>
      <c r="Y30" s="53">
        <f>SummaryDecryption[[#This Row],[Plain size (B)]]/1000/SummaryDecryption[[#This Row],[Test Size (KB)]]</f>
        <v>1.048576</v>
      </c>
    </row>
    <row r="31" spans="1:25" ht="17" thickTop="1" thickBot="1">
      <c r="A31" s="54" t="s">
        <v>2</v>
      </c>
      <c r="B31" s="55" t="s">
        <v>14</v>
      </c>
      <c r="C31" s="51" t="str">
        <f>CONCATENATE(SummaryEncryption[[#This Row],[Mode]],"_",SummaryEncryption[[#This Row],[Key size (B)]])</f>
        <v>OFB_24B</v>
      </c>
      <c r="D31" s="55">
        <v>5000</v>
      </c>
      <c r="E31" s="65">
        <f>SummaryEncryption[[#This Row],[Test Size (KB)]]/SummaryEncryption[[#This Row],[Average (ms)]]</f>
        <v>8.4587851529981926</v>
      </c>
      <c r="F31" s="56">
        <f>HLOOKUP($A31,SumEnc24x32[#All],AVG,FALSE)</f>
        <v>591.10142999999994</v>
      </c>
      <c r="G31" s="56">
        <f>HLOOKUP($A31,SumEnc24x32[#All],MIN,FALSE)</f>
        <v>580.62699999999995</v>
      </c>
      <c r="H31" s="56">
        <f>HLOOKUP($A31,SumEnc24x32[#All],MAX,FALSE)</f>
        <v>661.95299999999997</v>
      </c>
      <c r="I31" s="56">
        <f>HLOOKUP($A31,SumEnc24x32[#All],MED,FALSE)</f>
        <v>583.8900000000001</v>
      </c>
      <c r="J31" s="51">
        <f>VLOOKUP(SummaryEncryption[[#This Row],[Mode]],EncFileSummary[#All],13,FALSE)</f>
        <v>10485760</v>
      </c>
      <c r="K31" s="53">
        <f>SummaryEncryption[[#This Row],[Cipher size (B)]]/1000/SummaryEncryption[[#This Row],[Test Size (KB)]]</f>
        <v>2.0971519999999999</v>
      </c>
      <c r="O31" s="54" t="s">
        <v>2</v>
      </c>
      <c r="P31" s="55" t="s">
        <v>14</v>
      </c>
      <c r="Q31" s="51" t="str">
        <f>CONCATENATE(SummaryDecryption[[#This Row],[Mode]],"_",SummaryDecryption[[#This Row],[Key size (B)]])</f>
        <v>OFB_24B</v>
      </c>
      <c r="R31" s="55">
        <v>5000</v>
      </c>
      <c r="S31" s="65">
        <f>SummaryDecryption[[#This Row],[Test Size (KB)]]/SummaryDecryption[[#This Row],[Average (ms)]]</f>
        <v>6.6333574831768116</v>
      </c>
      <c r="T31" s="56">
        <f>HLOOKUP($A31,SumDec24x32[#All],AVG,FALSE)</f>
        <v>753.76609999999982</v>
      </c>
      <c r="U31" s="56">
        <f>HLOOKUP($A31,SumDec24x32[#All],MIN,FALSE)</f>
        <v>687.13599999999997</v>
      </c>
      <c r="V31" s="56">
        <f>HLOOKUP($A31,SumDec24x32[#All],MAX,FALSE)</f>
        <v>1381.15</v>
      </c>
      <c r="W31" s="56">
        <f>HLOOKUP($A31,SumDec24x32[#All],MED,FALSE)</f>
        <v>733.75299999999993</v>
      </c>
      <c r="X31" s="51">
        <f>VLOOKUP(SummaryEncryption[[#This Row],[Mode]],DecFileSummary[#All],13,FALSE)</f>
        <v>5242880</v>
      </c>
      <c r="Y31" s="53">
        <f>SummaryDecryption[[#This Row],[Plain size (B)]]/1000/SummaryDecryption[[#This Row],[Test Size (KB)]]</f>
        <v>1.048576</v>
      </c>
    </row>
    <row r="32" spans="1:25" ht="17" thickTop="1" thickBot="1">
      <c r="A32" s="54" t="s">
        <v>4</v>
      </c>
      <c r="B32" s="55" t="s">
        <v>14</v>
      </c>
      <c r="C32" s="51" t="str">
        <f>CONCATENATE(SummaryEncryption[[#This Row],[Mode]],"_",SummaryEncryption[[#This Row],[Key size (B)]])</f>
        <v>CTR_24B</v>
      </c>
      <c r="D32" s="55">
        <v>5000</v>
      </c>
      <c r="E32" s="65">
        <f>SummaryEncryption[[#This Row],[Test Size (KB)]]/SummaryEncryption[[#This Row],[Average (ms)]]</f>
        <v>8.4675335795285651</v>
      </c>
      <c r="F32" s="56">
        <f>HLOOKUP($A32,SumEnc24x32[#All],AVG,FALSE)</f>
        <v>590.49072000000001</v>
      </c>
      <c r="G32" s="56">
        <f>HLOOKUP($A32,SumEnc24x32[#All],MIN,FALSE)</f>
        <v>579.42099999999994</v>
      </c>
      <c r="H32" s="56">
        <f>HLOOKUP($A32,SumEnc24x32[#All],MAX,FALSE)</f>
        <v>699.99900000000002</v>
      </c>
      <c r="I32" s="56">
        <f>HLOOKUP($A32,SumEnc24x32[#All],MED,FALSE)</f>
        <v>583.1825</v>
      </c>
      <c r="J32" s="51">
        <f>VLOOKUP(SummaryEncryption[[#This Row],[Mode]],EncFileSummary[#All],13,FALSE)</f>
        <v>10485760</v>
      </c>
      <c r="K32" s="53">
        <f>SummaryEncryption[[#This Row],[Cipher size (B)]]/1000/SummaryEncryption[[#This Row],[Test Size (KB)]]</f>
        <v>2.0971519999999999</v>
      </c>
      <c r="O32" s="54" t="s">
        <v>4</v>
      </c>
      <c r="P32" s="55" t="s">
        <v>14</v>
      </c>
      <c r="Q32" s="51" t="str">
        <f>CONCATENATE(SummaryDecryption[[#This Row],[Mode]],"_",SummaryDecryption[[#This Row],[Key size (B)]])</f>
        <v>CTR_24B</v>
      </c>
      <c r="R32" s="55">
        <v>5000</v>
      </c>
      <c r="S32" s="65">
        <f>SummaryDecryption[[#This Row],[Test Size (KB)]]/SummaryDecryption[[#This Row],[Average (ms)]]</f>
        <v>6.5378578779271876</v>
      </c>
      <c r="T32" s="56">
        <f>HLOOKUP($A32,SumDec24x32[#All],AVG,FALSE)</f>
        <v>764.77648999999951</v>
      </c>
      <c r="U32" s="56">
        <f>HLOOKUP($A32,SumDec24x32[#All],MIN,FALSE)</f>
        <v>698.52</v>
      </c>
      <c r="V32" s="56">
        <f>HLOOKUP($A32,SumDec24x32[#All],MAX,FALSE)</f>
        <v>966.98699999999997</v>
      </c>
      <c r="W32" s="56">
        <f>HLOOKUP($A32,SumDec24x32[#All],MED,FALSE)</f>
        <v>751.2</v>
      </c>
      <c r="X32" s="51">
        <f>VLOOKUP(SummaryEncryption[[#This Row],[Mode]],DecFileSummary[#All],13,FALSE)</f>
        <v>5242880</v>
      </c>
      <c r="Y32" s="53">
        <f>SummaryDecryption[[#This Row],[Plain size (B)]]/1000/SummaryDecryption[[#This Row],[Test Size (KB)]]</f>
        <v>1.048576</v>
      </c>
    </row>
    <row r="33" spans="1:25" ht="17" thickTop="1" thickBot="1">
      <c r="A33" s="54" t="s">
        <v>0</v>
      </c>
      <c r="B33" s="55" t="s">
        <v>14</v>
      </c>
      <c r="C33" s="51" t="str">
        <f>CONCATENATE(SummaryEncryption[[#This Row],[Mode]],"_",SummaryEncryption[[#This Row],[Key size (B)]])</f>
        <v>ECB_24B</v>
      </c>
      <c r="D33" s="55">
        <v>10000</v>
      </c>
      <c r="E33" s="65">
        <f>SummaryEncryption[[#This Row],[Test Size (KB)]]/SummaryEncryption[[#This Row],[Average (ms)]]</f>
        <v>8.3813156670844169</v>
      </c>
      <c r="F33" s="56">
        <f>HLOOKUP($A33,SumEnc24x10[#All],AVG,FALSE)</f>
        <v>1193.1301000000003</v>
      </c>
      <c r="G33" s="56">
        <f>HLOOKUP($A33,SumEnc24x10[#All],MIN,FALSE)</f>
        <v>1161.1199999999999</v>
      </c>
      <c r="H33" s="56">
        <f>HLOOKUP($A33,SumEnc24x10[#All],MAX,FALSE)</f>
        <v>1454.54</v>
      </c>
      <c r="I33" s="56">
        <f>HLOOKUP($A33,SumEnc24x10[#All],MED,FALSE)</f>
        <v>1186.9949999999999</v>
      </c>
      <c r="J33" s="51">
        <f>VLOOKUP(SummaryEncryption[[#This Row],[Mode]],EncFileSummary[#All],16,FALSE)</f>
        <v>20971552</v>
      </c>
      <c r="K33" s="53">
        <f>SummaryEncryption[[#This Row],[Cipher size (B)]]/1000/SummaryEncryption[[#This Row],[Test Size (KB)]]</f>
        <v>2.0971552</v>
      </c>
      <c r="O33" s="54" t="s">
        <v>0</v>
      </c>
      <c r="P33" s="55" t="s">
        <v>14</v>
      </c>
      <c r="Q33" s="51" t="str">
        <f>CONCATENATE(SummaryDecryption[[#This Row],[Mode]],"_",SummaryDecryption[[#This Row],[Key size (B)]])</f>
        <v>ECB_24B</v>
      </c>
      <c r="R33" s="55">
        <v>10000</v>
      </c>
      <c r="S33" s="65">
        <f>SummaryDecryption[[#This Row],[Test Size (KB)]]/SummaryDecryption[[#This Row],[Average (ms)]]</f>
        <v>13.958281710954806</v>
      </c>
      <c r="T33" s="56">
        <f>HLOOKUP($A33,SumDec24x10[#All],AVG,FALSE)</f>
        <v>716.42056000000002</v>
      </c>
      <c r="U33" s="56">
        <f>HLOOKUP($A33,SumDec24x10[#All],MIN,FALSE)</f>
        <v>641.78</v>
      </c>
      <c r="V33" s="56">
        <f>HLOOKUP($A33,SumDec24x10[#All],MAX,FALSE)</f>
        <v>874.65099999999995</v>
      </c>
      <c r="W33" s="56">
        <f>HLOOKUP($A33,SumDec24x10[#All],MED,FALSE)</f>
        <v>702.2405</v>
      </c>
      <c r="X33" s="51">
        <f>VLOOKUP(SummaryEncryption[[#This Row],[Mode]],DecFileSummary[#All],16,FALSE)</f>
        <v>10485760</v>
      </c>
      <c r="Y33" s="53">
        <f>SummaryDecryption[[#This Row],[Plain size (B)]]/1000/SummaryDecryption[[#This Row],[Test Size (KB)]]</f>
        <v>1.048576</v>
      </c>
    </row>
    <row r="34" spans="1:25" ht="17" thickTop="1" thickBot="1">
      <c r="A34" s="54" t="s">
        <v>1</v>
      </c>
      <c r="B34" s="55" t="s">
        <v>14</v>
      </c>
      <c r="C34" s="51" t="str">
        <f>CONCATENATE(SummaryEncryption[[#This Row],[Mode]],"_",SummaryEncryption[[#This Row],[Key size (B)]])</f>
        <v>CBC_24B</v>
      </c>
      <c r="D34" s="55">
        <v>10000</v>
      </c>
      <c r="E34" s="65">
        <f>SummaryEncryption[[#This Row],[Test Size (KB)]]/SummaryEncryption[[#This Row],[Average (ms)]]</f>
        <v>8.3930703118554391</v>
      </c>
      <c r="F34" s="56">
        <f>HLOOKUP($A34,SumEnc24x10[#All],AVG,FALSE)</f>
        <v>1191.4590999999998</v>
      </c>
      <c r="G34" s="56">
        <f>HLOOKUP($A34,SumEnc24x10[#All],MIN,FALSE)</f>
        <v>1162</v>
      </c>
      <c r="H34" s="56">
        <f>HLOOKUP($A34,SumEnc24x10[#All],MAX,FALSE)</f>
        <v>1350.43</v>
      </c>
      <c r="I34" s="56">
        <f>HLOOKUP($A34,SumEnc24x10[#All],MED,FALSE)</f>
        <v>1186.3000000000002</v>
      </c>
      <c r="J34" s="51">
        <f>VLOOKUP(SummaryEncryption[[#This Row],[Mode]],EncFileSummary[#All],16,FALSE)</f>
        <v>20971552</v>
      </c>
      <c r="K34" s="53">
        <f>SummaryEncryption[[#This Row],[Cipher size (B)]]/1000/SummaryEncryption[[#This Row],[Test Size (KB)]]</f>
        <v>2.0971552</v>
      </c>
      <c r="O34" s="54" t="s">
        <v>1</v>
      </c>
      <c r="P34" s="55" t="s">
        <v>14</v>
      </c>
      <c r="Q34" s="51" t="str">
        <f>CONCATENATE(SummaryDecryption[[#This Row],[Mode]],"_",SummaryDecryption[[#This Row],[Key size (B)]])</f>
        <v>CBC_24B</v>
      </c>
      <c r="R34" s="55">
        <v>10000</v>
      </c>
      <c r="S34" s="65">
        <f>SummaryDecryption[[#This Row],[Test Size (KB)]]/SummaryDecryption[[#This Row],[Average (ms)]]</f>
        <v>14.017849404253313</v>
      </c>
      <c r="T34" s="56">
        <f>HLOOKUP($A34,SumDec24x10[#All],AVG,FALSE)</f>
        <v>713.37619000000007</v>
      </c>
      <c r="U34" s="56">
        <f>HLOOKUP($A34,SumDec24x10[#All],MIN,FALSE)</f>
        <v>642.07000000000005</v>
      </c>
      <c r="V34" s="56">
        <f>HLOOKUP($A34,SumDec24x10[#All],MAX,FALSE)</f>
        <v>910.12099999999998</v>
      </c>
      <c r="W34" s="56">
        <f>HLOOKUP($A34,SumDec24x10[#All],MED,FALSE)</f>
        <v>705.43949999999995</v>
      </c>
      <c r="X34" s="51">
        <f>VLOOKUP(SummaryEncryption[[#This Row],[Mode]],DecFileSummary[#All],16,FALSE)</f>
        <v>10485760</v>
      </c>
      <c r="Y34" s="53">
        <f>SummaryDecryption[[#This Row],[Plain size (B)]]/1000/SummaryDecryption[[#This Row],[Test Size (KB)]]</f>
        <v>1.048576</v>
      </c>
    </row>
    <row r="35" spans="1:25" ht="17" thickTop="1" thickBot="1">
      <c r="A35" s="54" t="s">
        <v>3</v>
      </c>
      <c r="B35" s="55" t="s">
        <v>14</v>
      </c>
      <c r="C35" s="51" t="str">
        <f>CONCATENATE(SummaryEncryption[[#This Row],[Mode]],"_",SummaryEncryption[[#This Row],[Key size (B)]])</f>
        <v>CFB_24B</v>
      </c>
      <c r="D35" s="55">
        <v>10000</v>
      </c>
      <c r="E35" s="65">
        <f>SummaryEncryption[[#This Row],[Test Size (KB)]]/SummaryEncryption[[#This Row],[Average (ms)]]</f>
        <v>8.4238702831801966</v>
      </c>
      <c r="F35" s="56">
        <f>HLOOKUP($A35,SumEnc24x10[#All],AVG,FALSE)</f>
        <v>1187.1027999999994</v>
      </c>
      <c r="G35" s="56">
        <f>HLOOKUP($A35,SumEnc24x10[#All],MIN,FALSE)</f>
        <v>1162.51</v>
      </c>
      <c r="H35" s="56">
        <f>HLOOKUP($A35,SumEnc24x10[#All],MAX,FALSE)</f>
        <v>1343.71</v>
      </c>
      <c r="I35" s="56">
        <f>HLOOKUP($A35,SumEnc24x10[#All],MED,FALSE)</f>
        <v>1186.82</v>
      </c>
      <c r="J35" s="51">
        <f>VLOOKUP(SummaryEncryption[[#This Row],[Mode]],EncFileSummary[#All],16,FALSE)</f>
        <v>20971520</v>
      </c>
      <c r="K35" s="53">
        <f>SummaryEncryption[[#This Row],[Cipher size (B)]]/1000/SummaryEncryption[[#This Row],[Test Size (KB)]]</f>
        <v>2.0971519999999999</v>
      </c>
      <c r="O35" s="54" t="s">
        <v>3</v>
      </c>
      <c r="P35" s="55" t="s">
        <v>14</v>
      </c>
      <c r="Q35" s="51" t="str">
        <f>CONCATENATE(SummaryDecryption[[#This Row],[Mode]],"_",SummaryDecryption[[#This Row],[Key size (B)]])</f>
        <v>CFB_24B</v>
      </c>
      <c r="R35" s="55">
        <v>10000</v>
      </c>
      <c r="S35" s="65">
        <f>SummaryDecryption[[#This Row],[Test Size (KB)]]/SummaryDecryption[[#This Row],[Average (ms)]]</f>
        <v>4.8946571879998677</v>
      </c>
      <c r="T35" s="56">
        <f>HLOOKUP($A35,SumDec24x10[#All],AVG,FALSE)</f>
        <v>2043.0439999999996</v>
      </c>
      <c r="U35" s="56">
        <f>HLOOKUP($A35,SumDec24x10[#All],MIN,FALSE)</f>
        <v>1873.78</v>
      </c>
      <c r="V35" s="56">
        <f>HLOOKUP($A35,SumDec24x10[#All],MAX,FALSE)</f>
        <v>2434.65</v>
      </c>
      <c r="W35" s="56">
        <f>HLOOKUP($A35,SumDec24x10[#All],MED,FALSE)</f>
        <v>2020.48</v>
      </c>
      <c r="X35" s="51">
        <f>VLOOKUP(SummaryEncryption[[#This Row],[Mode]],DecFileSummary[#All],16,FALSE)</f>
        <v>10485760</v>
      </c>
      <c r="Y35" s="53">
        <f>SummaryDecryption[[#This Row],[Plain size (B)]]/1000/SummaryDecryption[[#This Row],[Test Size (KB)]]</f>
        <v>1.048576</v>
      </c>
    </row>
    <row r="36" spans="1:25" ht="17" thickTop="1" thickBot="1">
      <c r="A36" s="54" t="s">
        <v>2</v>
      </c>
      <c r="B36" s="55" t="s">
        <v>14</v>
      </c>
      <c r="C36" s="51" t="str">
        <f>CONCATENATE(SummaryEncryption[[#This Row],[Mode]],"_",SummaryEncryption[[#This Row],[Key size (B)]])</f>
        <v>OFB_24B</v>
      </c>
      <c r="D36" s="55">
        <v>10000</v>
      </c>
      <c r="E36" s="65">
        <f>SummaryEncryption[[#This Row],[Test Size (KB)]]/SummaryEncryption[[#This Row],[Average (ms)]]</f>
        <v>8.3999258454546357</v>
      </c>
      <c r="F36" s="56">
        <f>HLOOKUP($A36,SumEnc24x10[#All],AVG,FALSE)</f>
        <v>1190.4867000000002</v>
      </c>
      <c r="G36" s="56">
        <f>HLOOKUP($A36,SumEnc24x10[#All],MIN,FALSE)</f>
        <v>1165.29</v>
      </c>
      <c r="H36" s="56">
        <f>HLOOKUP($A36,SumEnc24x10[#All],MAX,FALSE)</f>
        <v>1414.9099999999999</v>
      </c>
      <c r="I36" s="56">
        <f>HLOOKUP($A36,SumEnc24x10[#All],MED,FALSE)</f>
        <v>1184.79</v>
      </c>
      <c r="J36" s="51">
        <f>VLOOKUP(SummaryEncryption[[#This Row],[Mode]],EncFileSummary[#All],16,FALSE)</f>
        <v>20971520</v>
      </c>
      <c r="K36" s="53">
        <f>SummaryEncryption[[#This Row],[Cipher size (B)]]/1000/SummaryEncryption[[#This Row],[Test Size (KB)]]</f>
        <v>2.0971519999999999</v>
      </c>
      <c r="O36" s="54" t="s">
        <v>2</v>
      </c>
      <c r="P36" s="55" t="s">
        <v>14</v>
      </c>
      <c r="Q36" s="51" t="str">
        <f>CONCATENATE(SummaryDecryption[[#This Row],[Mode]],"_",SummaryDecryption[[#This Row],[Key size (B)]])</f>
        <v>OFB_24B</v>
      </c>
      <c r="R36" s="55">
        <v>10000</v>
      </c>
      <c r="S36" s="65">
        <f>SummaryDecryption[[#This Row],[Test Size (KB)]]/SummaryDecryption[[#This Row],[Average (ms)]]</f>
        <v>6.6559647627900702</v>
      </c>
      <c r="T36" s="56">
        <f>HLOOKUP($A36,SumDec24x10[#All],AVG,FALSE)</f>
        <v>1502.4117999999996</v>
      </c>
      <c r="U36" s="56">
        <f>HLOOKUP($A36,SumDec24x10[#All],MIN,FALSE)</f>
        <v>1376.31</v>
      </c>
      <c r="V36" s="56">
        <f>HLOOKUP($A36,SumDec24x10[#All],MAX,FALSE)</f>
        <v>1733.52</v>
      </c>
      <c r="W36" s="56">
        <f>HLOOKUP($A36,SumDec24x10[#All],MED,FALSE)</f>
        <v>1473.9099999999999</v>
      </c>
      <c r="X36" s="51">
        <f>VLOOKUP(SummaryEncryption[[#This Row],[Mode]],DecFileSummary[#All],16,FALSE)</f>
        <v>10485760</v>
      </c>
      <c r="Y36" s="53">
        <f>SummaryDecryption[[#This Row],[Plain size (B)]]/1000/SummaryDecryption[[#This Row],[Test Size (KB)]]</f>
        <v>1.048576</v>
      </c>
    </row>
    <row r="37" spans="1:25" ht="17" thickTop="1" thickBot="1">
      <c r="A37" s="54" t="s">
        <v>4</v>
      </c>
      <c r="B37" s="55" t="s">
        <v>14</v>
      </c>
      <c r="C37" s="51" t="str">
        <f>CONCATENATE(SummaryEncryption[[#This Row],[Mode]],"_",SummaryEncryption[[#This Row],[Key size (B)]])</f>
        <v>CTR_24B</v>
      </c>
      <c r="D37" s="55">
        <v>10000</v>
      </c>
      <c r="E37" s="65">
        <f>SummaryEncryption[[#This Row],[Test Size (KB)]]/SummaryEncryption[[#This Row],[Average (ms)]]</f>
        <v>8.4188258078431684</v>
      </c>
      <c r="F37" s="56">
        <f>HLOOKUP($A37,SumEnc24x10[#All],AVG,FALSE)</f>
        <v>1187.8140999999994</v>
      </c>
      <c r="G37" s="56">
        <f>HLOOKUP($A37,SumEnc24x10[#All],MIN,FALSE)</f>
        <v>1162.8799999999999</v>
      </c>
      <c r="H37" s="56">
        <f>HLOOKUP($A37,SumEnc24x10[#All],MAX,FALSE)</f>
        <v>1316.75</v>
      </c>
      <c r="I37" s="56">
        <f>HLOOKUP($A37,SumEnc24x10[#All],MED,FALSE)</f>
        <v>1183.95</v>
      </c>
      <c r="J37" s="51">
        <f>VLOOKUP(SummaryEncryption[[#This Row],[Mode]],EncFileSummary[#All],16,FALSE)</f>
        <v>20971520</v>
      </c>
      <c r="K37" s="53">
        <f>SummaryEncryption[[#This Row],[Cipher size (B)]]/1000/SummaryEncryption[[#This Row],[Test Size (KB)]]</f>
        <v>2.0971519999999999</v>
      </c>
      <c r="O37" s="54" t="s">
        <v>4</v>
      </c>
      <c r="P37" s="55" t="s">
        <v>14</v>
      </c>
      <c r="Q37" s="51" t="str">
        <f>CONCATENATE(SummaryDecryption[[#This Row],[Mode]],"_",SummaryDecryption[[#This Row],[Key size (B)]])</f>
        <v>CTR_24B</v>
      </c>
      <c r="R37" s="55">
        <v>10000</v>
      </c>
      <c r="S37" s="65">
        <f>SummaryDecryption[[#This Row],[Test Size (KB)]]/SummaryDecryption[[#This Row],[Average (ms)]]</f>
        <v>6.5011347730746376</v>
      </c>
      <c r="T37" s="56">
        <f>HLOOKUP($A37,SumDec24x10[#All],AVG,FALSE)</f>
        <v>1538.1930000000007</v>
      </c>
      <c r="U37" s="56">
        <f>HLOOKUP($A37,SumDec24x10[#All],MIN,FALSE)</f>
        <v>1396.6</v>
      </c>
      <c r="V37" s="56">
        <f>HLOOKUP($A37,SumDec24x10[#All],MAX,FALSE)</f>
        <v>1809.69</v>
      </c>
      <c r="W37" s="56">
        <f>HLOOKUP($A37,SumDec24x10[#All],MED,FALSE)</f>
        <v>1520.94</v>
      </c>
      <c r="X37" s="51">
        <f>VLOOKUP(SummaryEncryption[[#This Row],[Mode]],DecFileSummary[#All],16,FALSE)</f>
        <v>10485760</v>
      </c>
      <c r="Y37" s="53">
        <f>SummaryDecryption[[#This Row],[Plain size (B)]]/1000/SummaryDecryption[[#This Row],[Test Size (KB)]]</f>
        <v>1.048576</v>
      </c>
    </row>
    <row r="38" spans="1:25" ht="17" thickTop="1" thickBot="1">
      <c r="A38" s="54" t="s">
        <v>0</v>
      </c>
      <c r="B38" s="55" t="s">
        <v>14</v>
      </c>
      <c r="C38" s="51" t="str">
        <f>CONCATENATE(SummaryEncryption[[#This Row],[Mode]],"_",SummaryEncryption[[#This Row],[Key size (B)]])</f>
        <v>ECB_24B</v>
      </c>
      <c r="D38" s="55">
        <v>256000</v>
      </c>
      <c r="E38" s="65">
        <f>SummaryEncryption[[#This Row],[Test Size (KB)]]/SummaryEncryption[[#This Row],[Average (ms)]]</f>
        <v>7.4873585748374483</v>
      </c>
      <c r="F38" s="56">
        <f>HLOOKUP($A38,SumEnc24x256[#All],AVG,FALSE)</f>
        <v>34190.963000000011</v>
      </c>
      <c r="G38" s="56">
        <f>HLOOKUP($A38,SumEnc24x256[#All],MIN,FALSE)</f>
        <v>29876.9</v>
      </c>
      <c r="H38" s="56">
        <f>HLOOKUP($A38,SumEnc24x256[#All],MAX,FALSE)</f>
        <v>73095.7</v>
      </c>
      <c r="I38" s="56">
        <f>HLOOKUP($A38,SumEnc24x256[#All],MED,FALSE)</f>
        <v>32678.55</v>
      </c>
      <c r="J38" s="51">
        <f>VLOOKUP(SummaryEncryption[[#This Row],[Mode]],EncFileSummary[#All],19,FALSE)</f>
        <v>536870944</v>
      </c>
      <c r="K38" s="53">
        <f>SummaryEncryption[[#This Row],[Cipher size (B)]]/1000/SummaryEncryption[[#This Row],[Test Size (KB)]]</f>
        <v>2.097152125</v>
      </c>
      <c r="O38" s="54" t="s">
        <v>0</v>
      </c>
      <c r="P38" s="55" t="s">
        <v>14</v>
      </c>
      <c r="Q38" s="51" t="str">
        <f>CONCATENATE(SummaryDecryption[[#This Row],[Mode]],"_",SummaryDecryption[[#This Row],[Key size (B)]])</f>
        <v>ECB_24B</v>
      </c>
      <c r="R38" s="55">
        <v>256000</v>
      </c>
      <c r="S38" s="65">
        <f>SummaryDecryption[[#This Row],[Test Size (KB)]]/SummaryDecryption[[#This Row],[Average (ms)]]</f>
        <v>12.024838619385058</v>
      </c>
      <c r="T38" s="56">
        <f>HLOOKUP($A38,SumDec24x256[#All],AVG,FALSE)</f>
        <v>21289.267000000011</v>
      </c>
      <c r="U38" s="56">
        <f>HLOOKUP($A38,SumDec24x256[#All],MIN,FALSE)</f>
        <v>17306.3</v>
      </c>
      <c r="V38" s="56">
        <f>HLOOKUP($A38,SumDec24x256[#All],MAX,FALSE)</f>
        <v>78748.899999999994</v>
      </c>
      <c r="W38" s="56">
        <f>HLOOKUP($A38,SumDec24x256[#All],MED,FALSE)</f>
        <v>20025.449999999997</v>
      </c>
      <c r="X38" s="51">
        <f>VLOOKUP(SummaryEncryption[[#This Row],[Mode]],DecFileSummary[#All],19,FALSE)</f>
        <v>268435456</v>
      </c>
      <c r="Y38" s="53">
        <f>SummaryDecryption[[#This Row],[Plain size (B)]]/1000/SummaryDecryption[[#This Row],[Test Size (KB)]]</f>
        <v>1.048576</v>
      </c>
    </row>
    <row r="39" spans="1:25" ht="17" thickTop="1" thickBot="1">
      <c r="A39" s="54" t="s">
        <v>1</v>
      </c>
      <c r="B39" s="55" t="s">
        <v>14</v>
      </c>
      <c r="C39" s="51" t="str">
        <f>CONCATENATE(SummaryEncryption[[#This Row],[Mode]],"_",SummaryEncryption[[#This Row],[Key size (B)]])</f>
        <v>CBC_24B</v>
      </c>
      <c r="D39" s="55">
        <v>256000</v>
      </c>
      <c r="E39" s="65">
        <f>SummaryEncryption[[#This Row],[Test Size (KB)]]/SummaryEncryption[[#This Row],[Average (ms)]]</f>
        <v>7.6472523243166268</v>
      </c>
      <c r="F39" s="56">
        <f>HLOOKUP($A39,SumEnc24x256[#All],AVG,FALSE)</f>
        <v>33476.075999999994</v>
      </c>
      <c r="G39" s="56">
        <f>HLOOKUP($A39,SumEnc24x256[#All],MIN,FALSE)</f>
        <v>29899.100000000002</v>
      </c>
      <c r="H39" s="56">
        <f>HLOOKUP($A39,SumEnc24x256[#All],MAX,FALSE)</f>
        <v>51094.2</v>
      </c>
      <c r="I39" s="56">
        <f>HLOOKUP($A39,SumEnc24x256[#All],MED,FALSE)</f>
        <v>32844.35</v>
      </c>
      <c r="J39" s="51">
        <f>VLOOKUP(SummaryEncryption[[#This Row],[Mode]],EncFileSummary[#All],19,FALSE)</f>
        <v>536870944</v>
      </c>
      <c r="K39" s="53">
        <f>SummaryEncryption[[#This Row],[Cipher size (B)]]/1000/SummaryEncryption[[#This Row],[Test Size (KB)]]</f>
        <v>2.097152125</v>
      </c>
      <c r="O39" s="54" t="s">
        <v>1</v>
      </c>
      <c r="P39" s="55" t="s">
        <v>14</v>
      </c>
      <c r="Q39" s="51" t="str">
        <f>CONCATENATE(SummaryDecryption[[#This Row],[Mode]],"_",SummaryDecryption[[#This Row],[Key size (B)]])</f>
        <v>CBC_24B</v>
      </c>
      <c r="R39" s="55">
        <v>256000</v>
      </c>
      <c r="S39" s="65">
        <f>SummaryDecryption[[#This Row],[Test Size (KB)]]/SummaryDecryption[[#This Row],[Average (ms)]]</f>
        <v>12.092160019710226</v>
      </c>
      <c r="T39" s="56">
        <f>HLOOKUP($A39,SumDec24x256[#All],AVG,FALSE)</f>
        <v>21170.741999999991</v>
      </c>
      <c r="U39" s="56">
        <f>HLOOKUP($A39,SumDec24x256[#All],MIN,FALSE)</f>
        <v>17021.900000000001</v>
      </c>
      <c r="V39" s="56">
        <f>HLOOKUP($A39,SumDec24x256[#All],MAX,FALSE)</f>
        <v>43876.5</v>
      </c>
      <c r="W39" s="56">
        <f>HLOOKUP($A39,SumDec24x256[#All],MED,FALSE)</f>
        <v>19691.7</v>
      </c>
      <c r="X39" s="51">
        <f>VLOOKUP(SummaryEncryption[[#This Row],[Mode]],DecFileSummary[#All],19,FALSE)</f>
        <v>268435456</v>
      </c>
      <c r="Y39" s="53">
        <f>SummaryDecryption[[#This Row],[Plain size (B)]]/1000/SummaryDecryption[[#This Row],[Test Size (KB)]]</f>
        <v>1.048576</v>
      </c>
    </row>
    <row r="40" spans="1:25" ht="17" thickTop="1" thickBot="1">
      <c r="A40" s="54" t="s">
        <v>3</v>
      </c>
      <c r="B40" s="55" t="s">
        <v>14</v>
      </c>
      <c r="C40" s="51" t="str">
        <f>CONCATENATE(SummaryEncryption[[#This Row],[Mode]],"_",SummaryEncryption[[#This Row],[Key size (B)]])</f>
        <v>CFB_24B</v>
      </c>
      <c r="D40" s="55">
        <v>256000</v>
      </c>
      <c r="E40" s="65">
        <f>SummaryEncryption[[#This Row],[Test Size (KB)]]/SummaryEncryption[[#This Row],[Average (ms)]]</f>
        <v>7.47385159161216</v>
      </c>
      <c r="F40" s="56">
        <f>HLOOKUP($A40,SumEnc24x256[#All],AVG,FALSE)</f>
        <v>34252.75400000003</v>
      </c>
      <c r="G40" s="56">
        <f>HLOOKUP($A40,SumEnc24x256[#All],MIN,FALSE)</f>
        <v>30063.9</v>
      </c>
      <c r="H40" s="56">
        <f>HLOOKUP($A40,SumEnc24x256[#All],MAX,FALSE)</f>
        <v>63636.899999999994</v>
      </c>
      <c r="I40" s="56">
        <f>HLOOKUP($A40,SumEnc24x256[#All],MED,FALSE)</f>
        <v>32954.600000000006</v>
      </c>
      <c r="J40" s="51">
        <f>VLOOKUP(SummaryEncryption[[#This Row],[Mode]],EncFileSummary[#All],19,FALSE)</f>
        <v>536870912</v>
      </c>
      <c r="K40" s="53">
        <f>SummaryEncryption[[#This Row],[Cipher size (B)]]/1000/SummaryEncryption[[#This Row],[Test Size (KB)]]</f>
        <v>2.0971519999999999</v>
      </c>
      <c r="O40" s="54" t="s">
        <v>3</v>
      </c>
      <c r="P40" s="55" t="s">
        <v>14</v>
      </c>
      <c r="Q40" s="51" t="str">
        <f>CONCATENATE(SummaryDecryption[[#This Row],[Mode]],"_",SummaryDecryption[[#This Row],[Key size (B)]])</f>
        <v>CFB_24B</v>
      </c>
      <c r="R40" s="55">
        <v>256000</v>
      </c>
      <c r="S40" s="65">
        <f>SummaryDecryption[[#This Row],[Test Size (KB)]]/SummaryDecryption[[#This Row],[Average (ms)]]</f>
        <v>5.6301203167707978</v>
      </c>
      <c r="T40" s="56">
        <f>HLOOKUP($A40,SumDec24x256[#All],AVG,FALSE)</f>
        <v>45469.721000000034</v>
      </c>
      <c r="U40" s="56">
        <f>HLOOKUP($A40,SumDec24x256[#All],MIN,FALSE)</f>
        <v>38894.1</v>
      </c>
      <c r="V40" s="56">
        <f>HLOOKUP($A40,SumDec24x256[#All],MAX,FALSE)</f>
        <v>96371.199999999997</v>
      </c>
      <c r="W40" s="56">
        <f>HLOOKUP($A40,SumDec24x256[#All],MED,FALSE)</f>
        <v>43647.1</v>
      </c>
      <c r="X40" s="51">
        <f>VLOOKUP(SummaryEncryption[[#This Row],[Mode]],DecFileSummary[#All],19,FALSE)</f>
        <v>268435456</v>
      </c>
      <c r="Y40" s="53">
        <f>SummaryDecryption[[#This Row],[Plain size (B)]]/1000/SummaryDecryption[[#This Row],[Test Size (KB)]]</f>
        <v>1.048576</v>
      </c>
    </row>
    <row r="41" spans="1:25" ht="17" thickTop="1" thickBot="1">
      <c r="A41" s="54" t="s">
        <v>2</v>
      </c>
      <c r="B41" s="55" t="s">
        <v>14</v>
      </c>
      <c r="C41" s="51" t="str">
        <f>CONCATENATE(SummaryEncryption[[#This Row],[Mode]],"_",SummaryEncryption[[#This Row],[Key size (B)]])</f>
        <v>OFB_24B</v>
      </c>
      <c r="D41" s="55">
        <v>256000</v>
      </c>
      <c r="E41" s="65">
        <f>SummaryEncryption[[#This Row],[Test Size (KB)]]/SummaryEncryption[[#This Row],[Average (ms)]]</f>
        <v>7.4878084000867098</v>
      </c>
      <c r="F41" s="56">
        <f>HLOOKUP($A41,SumEnc24x256[#All],AVG,FALSE)</f>
        <v>34188.908999999985</v>
      </c>
      <c r="G41" s="56">
        <f>HLOOKUP($A41,SumEnc24x256[#All],MIN,FALSE)</f>
        <v>30096.3</v>
      </c>
      <c r="H41" s="56">
        <f>HLOOKUP($A41,SumEnc24x256[#All],MAX,FALSE)</f>
        <v>54861.600000000006</v>
      </c>
      <c r="I41" s="56">
        <f>HLOOKUP($A41,SumEnc24x256[#All],MED,FALSE)</f>
        <v>33129.35</v>
      </c>
      <c r="J41" s="51">
        <f>VLOOKUP(SummaryEncryption[[#This Row],[Mode]],EncFileSummary[#All],19,FALSE)</f>
        <v>536870912</v>
      </c>
      <c r="K41" s="53">
        <f>SummaryEncryption[[#This Row],[Cipher size (B)]]/1000/SummaryEncryption[[#This Row],[Test Size (KB)]]</f>
        <v>2.0971519999999999</v>
      </c>
      <c r="O41" s="54" t="s">
        <v>2</v>
      </c>
      <c r="P41" s="55" t="s">
        <v>14</v>
      </c>
      <c r="Q41" s="51" t="str">
        <f>CONCATENATE(SummaryDecryption[[#This Row],[Mode]],"_",SummaryDecryption[[#This Row],[Key size (B)]])</f>
        <v>OFB_24B</v>
      </c>
      <c r="R41" s="55">
        <v>256000</v>
      </c>
      <c r="S41" s="65">
        <f>SummaryDecryption[[#This Row],[Test Size (KB)]]/SummaryDecryption[[#This Row],[Average (ms)]]</f>
        <v>6.0568285726345286</v>
      </c>
      <c r="T41" s="56">
        <f>HLOOKUP($A41,SumDec24x256[#All],AVG,FALSE)</f>
        <v>42266.344000000005</v>
      </c>
      <c r="U41" s="56">
        <f>HLOOKUP($A41,SumDec24x256[#All],MIN,FALSE)</f>
        <v>36379.5</v>
      </c>
      <c r="V41" s="56">
        <f>HLOOKUP($A41,SumDec24x256[#All],MAX,FALSE)</f>
        <v>63659.7</v>
      </c>
      <c r="W41" s="56">
        <f>HLOOKUP($A41,SumDec24x256[#All],MED,FALSE)</f>
        <v>40055.65</v>
      </c>
      <c r="X41" s="51">
        <f>VLOOKUP(SummaryEncryption[[#This Row],[Mode]],DecFileSummary[#All],19,FALSE)</f>
        <v>268435456</v>
      </c>
      <c r="Y41" s="53">
        <f>SummaryDecryption[[#This Row],[Plain size (B)]]/1000/SummaryDecryption[[#This Row],[Test Size (KB)]]</f>
        <v>1.048576</v>
      </c>
    </row>
    <row r="42" spans="1:25" ht="17" thickTop="1" thickBot="1">
      <c r="A42" s="54" t="s">
        <v>4</v>
      </c>
      <c r="B42" s="55" t="s">
        <v>14</v>
      </c>
      <c r="C42" s="51" t="str">
        <f>CONCATENATE(SummaryEncryption[[#This Row],[Mode]],"_",SummaryEncryption[[#This Row],[Key size (B)]])</f>
        <v>CTR_24B</v>
      </c>
      <c r="D42" s="55">
        <v>256000</v>
      </c>
      <c r="E42" s="65">
        <f>SummaryEncryption[[#This Row],[Test Size (KB)]]/SummaryEncryption[[#This Row],[Average (ms)]]</f>
        <v>7.4540476162814686</v>
      </c>
      <c r="F42" s="56">
        <f>HLOOKUP($A42,SumEnc24x256[#All],AVG,FALSE)</f>
        <v>34343.756999999998</v>
      </c>
      <c r="G42" s="56">
        <f>HLOOKUP($A42,SumEnc24x256[#All],MIN,FALSE)</f>
        <v>30009.399999999998</v>
      </c>
      <c r="H42" s="56">
        <f>HLOOKUP($A42,SumEnc24x256[#All],MAX,FALSE)</f>
        <v>51603.299999999996</v>
      </c>
      <c r="I42" s="56">
        <f>HLOOKUP($A42,SumEnc24x256[#All],MED,FALSE)</f>
        <v>32502.100000000002</v>
      </c>
      <c r="J42" s="51">
        <f>VLOOKUP(SummaryEncryption[[#This Row],[Mode]],EncFileSummary[#All],19,FALSE)</f>
        <v>536870912</v>
      </c>
      <c r="K42" s="53">
        <f>SummaryEncryption[[#This Row],[Cipher size (B)]]/1000/SummaryEncryption[[#This Row],[Test Size (KB)]]</f>
        <v>2.0971519999999999</v>
      </c>
      <c r="O42" s="54" t="s">
        <v>4</v>
      </c>
      <c r="P42" s="55" t="s">
        <v>14</v>
      </c>
      <c r="Q42" s="51" t="str">
        <f>CONCATENATE(SummaryDecryption[[#This Row],[Mode]],"_",SummaryDecryption[[#This Row],[Key size (B)]])</f>
        <v>CTR_24B</v>
      </c>
      <c r="R42" s="55">
        <v>256000</v>
      </c>
      <c r="S42" s="65">
        <f>SummaryDecryption[[#This Row],[Test Size (KB)]]/SummaryDecryption[[#This Row],[Average (ms)]]</f>
        <v>5.9060070967134966</v>
      </c>
      <c r="T42" s="56">
        <f>HLOOKUP($A42,SumDec24x256[#All],AVG,FALSE)</f>
        <v>43345.697999999997</v>
      </c>
      <c r="U42" s="56">
        <f>HLOOKUP($A42,SumDec24x256[#All],MIN,FALSE)</f>
        <v>36682.1</v>
      </c>
      <c r="V42" s="56">
        <f>HLOOKUP($A42,SumDec24x256[#All],MAX,FALSE)</f>
        <v>73567.399999999994</v>
      </c>
      <c r="W42" s="56">
        <f>HLOOKUP($A42,SumDec24x256[#All],MED,FALSE)</f>
        <v>40513.199999999997</v>
      </c>
      <c r="X42" s="51">
        <f>VLOOKUP(SummaryEncryption[[#This Row],[Mode]],DecFileSummary[#All],19,FALSE)</f>
        <v>268435456</v>
      </c>
      <c r="Y42" s="53">
        <f>SummaryDecryption[[#This Row],[Plain size (B)]]/1000/SummaryDecryption[[#This Row],[Test Size (KB)]]</f>
        <v>1.048576</v>
      </c>
    </row>
    <row r="43" spans="1:25" ht="17" thickTop="1" thickBot="1">
      <c r="A43" s="54" t="s">
        <v>0</v>
      </c>
      <c r="B43" s="55" t="s">
        <v>13</v>
      </c>
      <c r="C43" s="51" t="str">
        <f>CONCATENATE(SummaryEncryption[[#This Row],[Mode]],"_",SummaryEncryption[[#This Row],[Key size (B)]])</f>
        <v>ECB_32B</v>
      </c>
      <c r="D43" s="51">
        <v>1000</v>
      </c>
      <c r="E43" s="65">
        <f>SummaryEncryption[[#This Row],[Test Size (KB)]]/SummaryEncryption[[#This Row],[Average (ms)]]</f>
        <v>8.4876508499575998</v>
      </c>
      <c r="F43" s="56">
        <f>HLOOKUP($A43,SumEnc32x16[#All],AVG,FALSE)</f>
        <v>117.81823</v>
      </c>
      <c r="G43" s="56">
        <f>HLOOKUP($A43,SumEnc32x16[#All],MIN,FALSE)</f>
        <v>115.19</v>
      </c>
      <c r="H43" s="56">
        <f>HLOOKUP($A43,SumEnc32x16[#All],MAX,FALSE)</f>
        <v>149.911</v>
      </c>
      <c r="I43" s="56">
        <f>HLOOKUP($A43,SumEnc32x16[#All],MED,FALSE)</f>
        <v>116.15</v>
      </c>
      <c r="J43" s="51">
        <f>VLOOKUP(SummaryEncryption[[#This Row],[Mode]],EncFileSummary[#All],11,FALSE)</f>
        <v>2097152</v>
      </c>
      <c r="K43" s="53">
        <f>SummaryEncryption[[#This Row],[Cipher size (B)]]/1000/SummaryEncryption[[#This Row],[Test Size (KB)]]</f>
        <v>2.0971519999999999</v>
      </c>
      <c r="O43" s="54" t="s">
        <v>0</v>
      </c>
      <c r="P43" s="55" t="s">
        <v>13</v>
      </c>
      <c r="Q43" s="51" t="str">
        <f>CONCATENATE(SummaryDecryption[[#This Row],[Mode]],"_",SummaryDecryption[[#This Row],[Key size (B)]])</f>
        <v>ECB_32B</v>
      </c>
      <c r="R43" s="51">
        <v>1000</v>
      </c>
      <c r="S43" s="65">
        <f>SummaryDecryption[[#This Row],[Test Size (KB)]]/SummaryDecryption[[#This Row],[Average (ms)]]</f>
        <v>14.940588004769634</v>
      </c>
      <c r="T43" s="56">
        <f>HLOOKUP($A43,SumDec32x16[#All],AVG,FALSE)</f>
        <v>66.93177</v>
      </c>
      <c r="U43" s="56">
        <f>HLOOKUP($A43,SumDec32x16[#All],MIN,FALSE)</f>
        <v>64.852000000000004</v>
      </c>
      <c r="V43" s="56">
        <f>HLOOKUP($A43,SumDec32x16[#All],MAX,FALSE)</f>
        <v>113.285</v>
      </c>
      <c r="W43" s="56">
        <f>HLOOKUP($A43,SumDec32x16[#All],MED,FALSE)</f>
        <v>65.754500000000007</v>
      </c>
      <c r="X43" s="51">
        <f>VLOOKUP(SummaryEncryption[[#This Row],[Mode]],DecFileSummary[#All],11,FALSE)</f>
        <v>1048576</v>
      </c>
      <c r="Y43" s="53">
        <f>SummaryDecryption[[#This Row],[Plain size (B)]]/1000/SummaryDecryption[[#This Row],[Test Size (KB)]]</f>
        <v>1.048576</v>
      </c>
    </row>
    <row r="44" spans="1:25" ht="17" thickTop="1" thickBot="1">
      <c r="A44" s="54" t="s">
        <v>1</v>
      </c>
      <c r="B44" s="55" t="s">
        <v>13</v>
      </c>
      <c r="C44" s="51" t="str">
        <f>CONCATENATE(SummaryEncryption[[#This Row],[Mode]],"_",SummaryEncryption[[#This Row],[Key size (B)]])</f>
        <v>CBC_32B</v>
      </c>
      <c r="D44" s="51">
        <v>1000</v>
      </c>
      <c r="E44" s="65">
        <f>SummaryEncryption[[#This Row],[Test Size (KB)]]/SummaryEncryption[[#This Row],[Average (ms)]]</f>
        <v>8.4796065462562566</v>
      </c>
      <c r="F44" s="56">
        <f>HLOOKUP($A44,SumEnc32x16[#All],AVG,FALSE)</f>
        <v>117.92999999999995</v>
      </c>
      <c r="G44" s="56">
        <f>HLOOKUP($A44,SumEnc32x16[#All],MIN,FALSE)</f>
        <v>114.90599999999999</v>
      </c>
      <c r="H44" s="56">
        <f>HLOOKUP($A44,SumEnc32x16[#All],MAX,FALSE)</f>
        <v>150.97999999999999</v>
      </c>
      <c r="I44" s="56">
        <f>HLOOKUP($A44,SumEnc32x16[#All],MED,FALSE)</f>
        <v>115.85550000000001</v>
      </c>
      <c r="J44" s="51">
        <f>VLOOKUP(SummaryEncryption[[#This Row],[Mode]],EncFileSummary[#All],11,FALSE)</f>
        <v>2097184</v>
      </c>
      <c r="K44" s="53">
        <f>SummaryEncryption[[#This Row],[Cipher size (B)]]/1000/SummaryEncryption[[#This Row],[Test Size (KB)]]</f>
        <v>2.0971840000000004</v>
      </c>
      <c r="O44" s="54" t="s">
        <v>1</v>
      </c>
      <c r="P44" s="55" t="s">
        <v>13</v>
      </c>
      <c r="Q44" s="51" t="str">
        <f>CONCATENATE(SummaryDecryption[[#This Row],[Mode]],"_",SummaryDecryption[[#This Row],[Key size (B)]])</f>
        <v>CBC_32B</v>
      </c>
      <c r="R44" s="51">
        <v>1000</v>
      </c>
      <c r="S44" s="65">
        <f>SummaryDecryption[[#This Row],[Test Size (KB)]]/SummaryDecryption[[#This Row],[Average (ms)]]</f>
        <v>14.744549935146104</v>
      </c>
      <c r="T44" s="56">
        <f>HLOOKUP($A44,SumDec32x16[#All],AVG,FALSE)</f>
        <v>67.821669999999969</v>
      </c>
      <c r="U44" s="56">
        <f>HLOOKUP($A44,SumDec32x16[#All],MIN,FALSE)</f>
        <v>65.936999999999998</v>
      </c>
      <c r="V44" s="56">
        <f>HLOOKUP($A44,SumDec32x16[#All],MAX,FALSE)</f>
        <v>102.129</v>
      </c>
      <c r="W44" s="56">
        <f>HLOOKUP($A44,SumDec32x16[#All],MED,FALSE)</f>
        <v>66.4285</v>
      </c>
      <c r="X44" s="51">
        <f>VLOOKUP(SummaryEncryption[[#This Row],[Mode]],DecFileSummary[#All],11,FALSE)</f>
        <v>1048576</v>
      </c>
      <c r="Y44" s="53">
        <f>SummaryDecryption[[#This Row],[Plain size (B)]]/1000/SummaryDecryption[[#This Row],[Test Size (KB)]]</f>
        <v>1.048576</v>
      </c>
    </row>
    <row r="45" spans="1:25" ht="17" thickTop="1" thickBot="1">
      <c r="A45" s="54" t="s">
        <v>3</v>
      </c>
      <c r="B45" s="55" t="s">
        <v>13</v>
      </c>
      <c r="C45" s="51" t="str">
        <f>CONCATENATE(SummaryEncryption[[#This Row],[Mode]],"_",SummaryEncryption[[#This Row],[Key size (B)]])</f>
        <v>CFB_32B</v>
      </c>
      <c r="D45" s="51">
        <v>1000</v>
      </c>
      <c r="E45" s="65">
        <f>SummaryEncryption[[#This Row],[Test Size (KB)]]/SummaryEncryption[[#This Row],[Average (ms)]]</f>
        <v>8.4815778856087896</v>
      </c>
      <c r="F45" s="56">
        <f>HLOOKUP($A45,SumEnc32x16[#All],AVG,FALSE)</f>
        <v>117.90259</v>
      </c>
      <c r="G45" s="56">
        <f>HLOOKUP($A45,SumEnc32x16[#All],MIN,FALSE)</f>
        <v>115.645</v>
      </c>
      <c r="H45" s="56">
        <f>HLOOKUP($A45,SumEnc32x16[#All],MAX,FALSE)</f>
        <v>150.65100000000001</v>
      </c>
      <c r="I45" s="56">
        <f>HLOOKUP($A45,SumEnc32x16[#All],MED,FALSE)</f>
        <v>116.51</v>
      </c>
      <c r="J45" s="51">
        <f>VLOOKUP(SummaryEncryption[[#This Row],[Mode]],EncFileSummary[#All],11,FALSE)</f>
        <v>2097152</v>
      </c>
      <c r="K45" s="53">
        <f>SummaryEncryption[[#This Row],[Cipher size (B)]]/1000/SummaryEncryption[[#This Row],[Test Size (KB)]]</f>
        <v>2.0971519999999999</v>
      </c>
      <c r="O45" s="54" t="s">
        <v>3</v>
      </c>
      <c r="P45" s="55" t="s">
        <v>13</v>
      </c>
      <c r="Q45" s="51" t="str">
        <f>CONCATENATE(SummaryDecryption[[#This Row],[Mode]],"_",SummaryDecryption[[#This Row],[Key size (B)]])</f>
        <v>CFB_32B</v>
      </c>
      <c r="R45" s="51">
        <v>1000</v>
      </c>
      <c r="S45" s="65">
        <f>SummaryDecryption[[#This Row],[Test Size (KB)]]/SummaryDecryption[[#This Row],[Average (ms)]]</f>
        <v>6.6279057898866407</v>
      </c>
      <c r="T45" s="56">
        <f>HLOOKUP($A45,SumDec32x16[#All],AVG,FALSE)</f>
        <v>150.87721999999994</v>
      </c>
      <c r="U45" s="56">
        <f>HLOOKUP($A45,SumDec32x16[#All],MIN,FALSE)</f>
        <v>147.58600000000001</v>
      </c>
      <c r="V45" s="56">
        <f>HLOOKUP($A45,SumDec32x16[#All],MAX,FALSE)</f>
        <v>184.19300000000001</v>
      </c>
      <c r="W45" s="56">
        <f>HLOOKUP($A45,SumDec32x16[#All],MED,FALSE)</f>
        <v>148.32400000000001</v>
      </c>
      <c r="X45" s="51">
        <f>VLOOKUP(SummaryEncryption[[#This Row],[Mode]],DecFileSummary[#All],11,FALSE)</f>
        <v>1048576</v>
      </c>
      <c r="Y45" s="53">
        <f>SummaryDecryption[[#This Row],[Plain size (B)]]/1000/SummaryDecryption[[#This Row],[Test Size (KB)]]</f>
        <v>1.048576</v>
      </c>
    </row>
    <row r="46" spans="1:25" ht="17" thickTop="1" thickBot="1">
      <c r="A46" s="54" t="s">
        <v>2</v>
      </c>
      <c r="B46" s="55" t="s">
        <v>13</v>
      </c>
      <c r="C46" s="51" t="str">
        <f>CONCATENATE(SummaryEncryption[[#This Row],[Mode]],"_",SummaryEncryption[[#This Row],[Key size (B)]])</f>
        <v>OFB_32B</v>
      </c>
      <c r="D46" s="51">
        <v>1000</v>
      </c>
      <c r="E46" s="65">
        <f>SummaryEncryption[[#This Row],[Test Size (KB)]]/SummaryEncryption[[#This Row],[Average (ms)]]</f>
        <v>8.4245785393971193</v>
      </c>
      <c r="F46" s="56">
        <f>HLOOKUP($A46,SumEnc32x16[#All],AVG,FALSE)</f>
        <v>118.70030000000001</v>
      </c>
      <c r="G46" s="56">
        <f>HLOOKUP($A46,SumEnc32x16[#All],MIN,FALSE)</f>
        <v>115.715</v>
      </c>
      <c r="H46" s="56">
        <f>HLOOKUP($A46,SumEnc32x16[#All],MAX,FALSE)</f>
        <v>149.821</v>
      </c>
      <c r="I46" s="56">
        <f>HLOOKUP($A46,SumEnc32x16[#All],MED,FALSE)</f>
        <v>116.55350000000001</v>
      </c>
      <c r="J46" s="51">
        <f>VLOOKUP(SummaryEncryption[[#This Row],[Mode]],EncFileSummary[#All],11,FALSE)</f>
        <v>2097184</v>
      </c>
      <c r="K46" s="53">
        <f>SummaryEncryption[[#This Row],[Cipher size (B)]]/1000/SummaryEncryption[[#This Row],[Test Size (KB)]]</f>
        <v>2.0971840000000004</v>
      </c>
      <c r="O46" s="54" t="s">
        <v>2</v>
      </c>
      <c r="P46" s="55" t="s">
        <v>13</v>
      </c>
      <c r="Q46" s="51" t="str">
        <f>CONCATENATE(SummaryDecryption[[#This Row],[Mode]],"_",SummaryDecryption[[#This Row],[Key size (B)]])</f>
        <v>OFB_32B</v>
      </c>
      <c r="R46" s="51">
        <v>1000</v>
      </c>
      <c r="S46" s="65">
        <f>SummaryDecryption[[#This Row],[Test Size (KB)]]/SummaryDecryption[[#This Row],[Average (ms)]]</f>
        <v>7.0234119819689358</v>
      </c>
      <c r="T46" s="56">
        <f>HLOOKUP($A46,SumDec32x16[#All],AVG,FALSE)</f>
        <v>142.38093999999998</v>
      </c>
      <c r="U46" s="56">
        <f>HLOOKUP($A46,SumDec32x16[#All],MIN,FALSE)</f>
        <v>139.316</v>
      </c>
      <c r="V46" s="56">
        <f>HLOOKUP($A46,SumDec32x16[#All],MAX,FALSE)</f>
        <v>174.239</v>
      </c>
      <c r="W46" s="56">
        <f>HLOOKUP($A46,SumDec32x16[#All],MED,FALSE)</f>
        <v>140.596</v>
      </c>
      <c r="X46" s="51">
        <f>VLOOKUP(SummaryEncryption[[#This Row],[Mode]],DecFileSummary[#All],11,FALSE)</f>
        <v>1048576</v>
      </c>
      <c r="Y46" s="53">
        <f>SummaryDecryption[[#This Row],[Plain size (B)]]/1000/SummaryDecryption[[#This Row],[Test Size (KB)]]</f>
        <v>1.048576</v>
      </c>
    </row>
    <row r="47" spans="1:25" ht="17" thickTop="1" thickBot="1">
      <c r="A47" s="54" t="s">
        <v>4</v>
      </c>
      <c r="B47" s="55" t="s">
        <v>13</v>
      </c>
      <c r="C47" s="51" t="str">
        <f>CONCATENATE(SummaryEncryption[[#This Row],[Mode]],"_",SummaryEncryption[[#This Row],[Key size (B)]])</f>
        <v>CTR_32B</v>
      </c>
      <c r="D47" s="51">
        <v>1000</v>
      </c>
      <c r="E47" s="65">
        <f>SummaryEncryption[[#This Row],[Test Size (KB)]]/SummaryEncryption[[#This Row],[Average (ms)]]</f>
        <v>8.5731522649282343</v>
      </c>
      <c r="F47" s="56">
        <f>HLOOKUP($A47,SumEnc32x16[#All],AVG,FALSE)</f>
        <v>116.64321000000004</v>
      </c>
      <c r="G47" s="56">
        <f>HLOOKUP($A47,SumEnc32x16[#All],MIN,FALSE)</f>
        <v>114.708</v>
      </c>
      <c r="H47" s="56">
        <f>HLOOKUP($A47,SumEnc32x16[#All],MAX,FALSE)</f>
        <v>144.87800000000001</v>
      </c>
      <c r="I47" s="56">
        <f>HLOOKUP($A47,SumEnc32x16[#All],MED,FALSE)</f>
        <v>115.4455</v>
      </c>
      <c r="J47" s="51">
        <f>VLOOKUP(SummaryEncryption[[#This Row],[Mode]],EncFileSummary[#All],11,FALSE)</f>
        <v>2097152</v>
      </c>
      <c r="K47" s="53">
        <f>SummaryEncryption[[#This Row],[Cipher size (B)]]/1000/SummaryEncryption[[#This Row],[Test Size (KB)]]</f>
        <v>2.0971519999999999</v>
      </c>
      <c r="O47" s="54" t="s">
        <v>4</v>
      </c>
      <c r="P47" s="55" t="s">
        <v>13</v>
      </c>
      <c r="Q47" s="51" t="str">
        <f>CONCATENATE(SummaryDecryption[[#This Row],[Mode]],"_",SummaryDecryption[[#This Row],[Key size (B)]])</f>
        <v>CTR_32B</v>
      </c>
      <c r="R47" s="51">
        <v>1000</v>
      </c>
      <c r="S47" s="65">
        <f>SummaryDecryption[[#This Row],[Test Size (KB)]]/SummaryDecryption[[#This Row],[Average (ms)]]</f>
        <v>6.8736104566861158</v>
      </c>
      <c r="T47" s="56">
        <f>HLOOKUP($A47,SumDec32x16[#All],AVG,FALSE)</f>
        <v>145.48394999999999</v>
      </c>
      <c r="U47" s="56">
        <f>HLOOKUP($A47,SumDec32x16[#All],MIN,FALSE)</f>
        <v>141.429</v>
      </c>
      <c r="V47" s="56">
        <f>HLOOKUP($A47,SumDec32x16[#All],MAX,FALSE)</f>
        <v>224.48599999999999</v>
      </c>
      <c r="W47" s="56">
        <f>HLOOKUP($A47,SumDec32x16[#All],MED,FALSE)</f>
        <v>142.35599999999999</v>
      </c>
      <c r="X47" s="51">
        <f>VLOOKUP(SummaryEncryption[[#This Row],[Mode]],DecFileSummary[#All],11,FALSE)</f>
        <v>1048576</v>
      </c>
      <c r="Y47" s="53">
        <f>SummaryDecryption[[#This Row],[Plain size (B)]]/1000/SummaryDecryption[[#This Row],[Test Size (KB)]]</f>
        <v>1.048576</v>
      </c>
    </row>
    <row r="48" spans="1:25" ht="17" thickTop="1" thickBot="1">
      <c r="A48" s="54" t="s">
        <v>0</v>
      </c>
      <c r="B48" s="55" t="s">
        <v>13</v>
      </c>
      <c r="C48" s="51" t="str">
        <f>CONCATENATE(SummaryEncryption[[#This Row],[Mode]],"_",SummaryEncryption[[#This Row],[Key size (B)]])</f>
        <v>ECB_32B</v>
      </c>
      <c r="D48" s="55">
        <v>5000</v>
      </c>
      <c r="E48" s="65">
        <f>SummaryEncryption[[#This Row],[Test Size (KB)]]/SummaryEncryption[[#This Row],[Average (ms)]]</f>
        <v>8.326932697733012</v>
      </c>
      <c r="F48" s="56">
        <f>HLOOKUP($A48,SumEnc32x32[#All],AVG,FALSE)</f>
        <v>600.46119999999974</v>
      </c>
      <c r="G48" s="56">
        <f>HLOOKUP($A48,SumEnc32x16[#All],MIN,FALSE)</f>
        <v>115.19</v>
      </c>
      <c r="H48" s="56">
        <f>HLOOKUP($A48,SumEnc32x16[#All],MAX,FALSE)</f>
        <v>149.911</v>
      </c>
      <c r="I48" s="56">
        <f>HLOOKUP($A48,SumEnc32x16[#All],MED,FALSE)</f>
        <v>116.15</v>
      </c>
      <c r="J48" s="51">
        <f>VLOOKUP(SummaryEncryption[[#This Row],[Mode]],EncFileSummary[#All],14,FALSE)</f>
        <v>10485792</v>
      </c>
      <c r="K48" s="53">
        <f>SummaryEncryption[[#This Row],[Cipher size (B)]]/1000/SummaryEncryption[[#This Row],[Test Size (KB)]]</f>
        <v>2.0971584000000001</v>
      </c>
      <c r="O48" s="54" t="s">
        <v>0</v>
      </c>
      <c r="P48" s="55" t="s">
        <v>13</v>
      </c>
      <c r="Q48" s="51" t="str">
        <f>CONCATENATE(SummaryDecryption[[#This Row],[Mode]],"_",SummaryDecryption[[#This Row],[Key size (B)]])</f>
        <v>ECB_32B</v>
      </c>
      <c r="R48" s="55">
        <v>5000</v>
      </c>
      <c r="S48" s="65">
        <f>SummaryDecryption[[#This Row],[Test Size (KB)]]/SummaryDecryption[[#This Row],[Average (ms)]]</f>
        <v>13.821493749644096</v>
      </c>
      <c r="T48" s="56">
        <f>HLOOKUP($A48,SumDec32x32[#All],AVG,FALSE)</f>
        <v>361.75540000000001</v>
      </c>
      <c r="U48" s="56">
        <f>HLOOKUP($A48,SumDec32x16[#All],MIN,FALSE)</f>
        <v>64.852000000000004</v>
      </c>
      <c r="V48" s="56">
        <f>HLOOKUP($A48,SumDec32x16[#All],MAX,FALSE)</f>
        <v>113.285</v>
      </c>
      <c r="W48" s="56">
        <f>HLOOKUP($A48,SumDec32x16[#All],MED,FALSE)</f>
        <v>65.754500000000007</v>
      </c>
      <c r="X48" s="51">
        <f>VLOOKUP(SummaryEncryption[[#This Row],[Mode]],DecFileSummary[#All],14,FALSE)</f>
        <v>5242880</v>
      </c>
      <c r="Y48" s="53">
        <f>SummaryDecryption[[#This Row],[Plain size (B)]]/1000/SummaryDecryption[[#This Row],[Test Size (KB)]]</f>
        <v>1.048576</v>
      </c>
    </row>
    <row r="49" spans="1:25" ht="17" thickTop="1" thickBot="1">
      <c r="A49" s="54" t="s">
        <v>1</v>
      </c>
      <c r="B49" s="55" t="s">
        <v>13</v>
      </c>
      <c r="C49" s="51" t="str">
        <f>CONCATENATE(SummaryEncryption[[#This Row],[Mode]],"_",SummaryEncryption[[#This Row],[Key size (B)]])</f>
        <v>CBC_32B</v>
      </c>
      <c r="D49" s="55">
        <v>5000</v>
      </c>
      <c r="E49" s="65">
        <f>SummaryEncryption[[#This Row],[Test Size (KB)]]/SummaryEncryption[[#This Row],[Average (ms)]]</f>
        <v>8.2894292005157268</v>
      </c>
      <c r="F49" s="56">
        <f>HLOOKUP($A49,SumEnc32x32[#All],AVG,FALSE)</f>
        <v>603.17783999999961</v>
      </c>
      <c r="G49" s="56">
        <f>HLOOKUP($A49,SumEnc32x32[#All],MIN,FALSE)</f>
        <v>587.96</v>
      </c>
      <c r="H49" s="56">
        <f>HLOOKUP($A49,SumEnc32x32[#All],MAX,FALSE)</f>
        <v>772.42599999999993</v>
      </c>
      <c r="I49" s="56">
        <f>HLOOKUP($A49,SumEnc32x32[#All],MED,FALSE)</f>
        <v>591.98400000000004</v>
      </c>
      <c r="J49" s="51">
        <f>VLOOKUP(SummaryEncryption[[#This Row],[Mode]],EncFileSummary[#All],14,FALSE)</f>
        <v>10485792</v>
      </c>
      <c r="K49" s="53">
        <f>SummaryEncryption[[#This Row],[Cipher size (B)]]/1000/SummaryEncryption[[#This Row],[Test Size (KB)]]</f>
        <v>2.0971584000000001</v>
      </c>
      <c r="O49" s="54" t="s">
        <v>1</v>
      </c>
      <c r="P49" s="55" t="s">
        <v>13</v>
      </c>
      <c r="Q49" s="51" t="str">
        <f>CONCATENATE(SummaryDecryption[[#This Row],[Mode]],"_",SummaryDecryption[[#This Row],[Key size (B)]])</f>
        <v>CBC_32B</v>
      </c>
      <c r="R49" s="55">
        <v>5000</v>
      </c>
      <c r="S49" s="65">
        <f>SummaryDecryption[[#This Row],[Test Size (KB)]]/SummaryDecryption[[#This Row],[Average (ms)]]</f>
        <v>14.042760092138483</v>
      </c>
      <c r="T49" s="56">
        <f>HLOOKUP($A49,SumDec32x32[#All],AVG,FALSE)</f>
        <v>356.05535999999995</v>
      </c>
      <c r="U49" s="56">
        <f>HLOOKUP($A49,SumDec32x32[#All],MIN,FALSE)</f>
        <v>326.92599999999999</v>
      </c>
      <c r="V49" s="56">
        <f>HLOOKUP($A49,SumDec32x32[#All],MAX,FALSE)</f>
        <v>469.15800000000002</v>
      </c>
      <c r="W49" s="56">
        <f>HLOOKUP($A49,SumDec32x32[#All],MED,FALSE)</f>
        <v>344.70799999999997</v>
      </c>
      <c r="X49" s="51">
        <f>VLOOKUP(SummaryEncryption[[#This Row],[Mode]],DecFileSummary[#All],14,FALSE)</f>
        <v>5242880</v>
      </c>
      <c r="Y49" s="53">
        <f>SummaryDecryption[[#This Row],[Plain size (B)]]/1000/SummaryDecryption[[#This Row],[Test Size (KB)]]</f>
        <v>1.048576</v>
      </c>
    </row>
    <row r="50" spans="1:25" ht="17" thickTop="1" thickBot="1">
      <c r="A50" s="54" t="s">
        <v>3</v>
      </c>
      <c r="B50" s="55" t="s">
        <v>13</v>
      </c>
      <c r="C50" s="51" t="str">
        <f>CONCATENATE(SummaryEncryption[[#This Row],[Mode]],"_",SummaryEncryption[[#This Row],[Key size (B)]])</f>
        <v>CFB_32B</v>
      </c>
      <c r="D50" s="55">
        <v>5000</v>
      </c>
      <c r="E50" s="65">
        <f>SummaryEncryption[[#This Row],[Test Size (KB)]]/SummaryEncryption[[#This Row],[Average (ms)]]</f>
        <v>8.2575573081908988</v>
      </c>
      <c r="F50" s="56">
        <f>HLOOKUP($A50,SumEnc32x32[#All],AVG,FALSE)</f>
        <v>605.50594000000001</v>
      </c>
      <c r="G50" s="56">
        <f>HLOOKUP($A50,SumEnc32x32[#All],MIN,FALSE)</f>
        <v>591.53100000000006</v>
      </c>
      <c r="H50" s="56">
        <f>HLOOKUP($A50,SumEnc32x32[#All],MAX,FALSE)</f>
        <v>780.78099999999995</v>
      </c>
      <c r="I50" s="56">
        <f>HLOOKUP($A50,SumEnc32x32[#All],MED,FALSE)</f>
        <v>595.25150000000008</v>
      </c>
      <c r="J50" s="51">
        <f>VLOOKUP(SummaryEncryption[[#This Row],[Mode]],EncFileSummary[#All],14,FALSE)</f>
        <v>10485760</v>
      </c>
      <c r="K50" s="53">
        <f>SummaryEncryption[[#This Row],[Cipher size (B)]]/1000/SummaryEncryption[[#This Row],[Test Size (KB)]]</f>
        <v>2.0971519999999999</v>
      </c>
      <c r="O50" s="54" t="s">
        <v>3</v>
      </c>
      <c r="P50" s="55" t="s">
        <v>13</v>
      </c>
      <c r="Q50" s="51" t="str">
        <f>CONCATENATE(SummaryDecryption[[#This Row],[Mode]],"_",SummaryDecryption[[#This Row],[Key size (B)]])</f>
        <v>CFB_32B</v>
      </c>
      <c r="R50" s="55">
        <v>5000</v>
      </c>
      <c r="S50" s="65">
        <f>SummaryDecryption[[#This Row],[Test Size (KB)]]/SummaryDecryption[[#This Row],[Average (ms)]]</f>
        <v>6.288230080805012</v>
      </c>
      <c r="T50" s="56">
        <f>HLOOKUP($A50,SumDec32x32[#All],AVG,FALSE)</f>
        <v>795.13630000000023</v>
      </c>
      <c r="U50" s="56">
        <f>HLOOKUP($A50,SumDec32x32[#All],MIN,FALSE)</f>
        <v>735.66</v>
      </c>
      <c r="V50" s="56">
        <f>HLOOKUP($A50,SumDec32x32[#All],MAX,FALSE)</f>
        <v>1070.53</v>
      </c>
      <c r="W50" s="56">
        <f>HLOOKUP($A50,SumDec32x32[#All],MED,FALSE)</f>
        <v>771.58899999999994</v>
      </c>
      <c r="X50" s="51">
        <f>VLOOKUP(SummaryEncryption[[#This Row],[Mode]],DecFileSummary[#All],14,FALSE)</f>
        <v>5242880</v>
      </c>
      <c r="Y50" s="53">
        <f>SummaryDecryption[[#This Row],[Plain size (B)]]/1000/SummaryDecryption[[#This Row],[Test Size (KB)]]</f>
        <v>1.048576</v>
      </c>
    </row>
    <row r="51" spans="1:25" ht="17" thickTop="1" thickBot="1">
      <c r="A51" s="54" t="s">
        <v>2</v>
      </c>
      <c r="B51" s="55" t="s">
        <v>13</v>
      </c>
      <c r="C51" s="51" t="str">
        <f>CONCATENATE(SummaryEncryption[[#This Row],[Mode]],"_",SummaryEncryption[[#This Row],[Key size (B)]])</f>
        <v>OFB_32B</v>
      </c>
      <c r="D51" s="55">
        <v>5000</v>
      </c>
      <c r="E51" s="65">
        <f>SummaryEncryption[[#This Row],[Test Size (KB)]]/SummaryEncryption[[#This Row],[Average (ms)]]</f>
        <v>8.2649772876771141</v>
      </c>
      <c r="F51" s="56">
        <f>HLOOKUP($A51,SumEnc32x32[#All],AVG,FALSE)</f>
        <v>604.96233999999993</v>
      </c>
      <c r="G51" s="56">
        <f>HLOOKUP($A51,SumEnc32x32[#All],MIN,FALSE)</f>
        <v>590.41500000000008</v>
      </c>
      <c r="H51" s="56">
        <f>HLOOKUP($A51,SumEnc32x32[#All],MAX,FALSE)</f>
        <v>728.7829999999999</v>
      </c>
      <c r="I51" s="56">
        <f>HLOOKUP($A51,SumEnc32x32[#All],MED,FALSE)</f>
        <v>595.03650000000005</v>
      </c>
      <c r="J51" s="51">
        <f>VLOOKUP(SummaryEncryption[[#This Row],[Mode]],EncFileSummary[#All],14,FALSE)</f>
        <v>10485760</v>
      </c>
      <c r="K51" s="53">
        <f>SummaryEncryption[[#This Row],[Cipher size (B)]]/1000/SummaryEncryption[[#This Row],[Test Size (KB)]]</f>
        <v>2.0971519999999999</v>
      </c>
      <c r="O51" s="54" t="s">
        <v>2</v>
      </c>
      <c r="P51" s="55" t="s">
        <v>13</v>
      </c>
      <c r="Q51" s="51" t="str">
        <f>CONCATENATE(SummaryDecryption[[#This Row],[Mode]],"_",SummaryDecryption[[#This Row],[Key size (B)]])</f>
        <v>OFB_32B</v>
      </c>
      <c r="R51" s="55">
        <v>5000</v>
      </c>
      <c r="S51" s="65">
        <f>SummaryDecryption[[#This Row],[Test Size (KB)]]/SummaryDecryption[[#This Row],[Average (ms)]]</f>
        <v>6.6336002039540194</v>
      </c>
      <c r="T51" s="56">
        <f>HLOOKUP($A51,SumDec32x32[#All],AVG,FALSE)</f>
        <v>753.73851999999988</v>
      </c>
      <c r="U51" s="56">
        <f>HLOOKUP($A51,SumDec32x32[#All],MIN,FALSE)</f>
        <v>694.51099999999997</v>
      </c>
      <c r="V51" s="56">
        <f>HLOOKUP($A51,SumDec32x32[#All],MAX,FALSE)</f>
        <v>1072.6600000000001</v>
      </c>
      <c r="W51" s="56">
        <f>HLOOKUP($A51,SumDec32x32[#All],MED,FALSE)</f>
        <v>730.149</v>
      </c>
      <c r="X51" s="51">
        <f>VLOOKUP(SummaryEncryption[[#This Row],[Mode]],DecFileSummary[#All],14,FALSE)</f>
        <v>5242880</v>
      </c>
      <c r="Y51" s="53">
        <f>SummaryDecryption[[#This Row],[Plain size (B)]]/1000/SummaryDecryption[[#This Row],[Test Size (KB)]]</f>
        <v>1.048576</v>
      </c>
    </row>
    <row r="52" spans="1:25" ht="17" thickTop="1" thickBot="1">
      <c r="A52" s="54" t="s">
        <v>4</v>
      </c>
      <c r="B52" s="55" t="s">
        <v>13</v>
      </c>
      <c r="C52" s="51" t="str">
        <f>CONCATENATE(SummaryEncryption[[#This Row],[Mode]],"_",SummaryEncryption[[#This Row],[Key size (B)]])</f>
        <v>CTR_32B</v>
      </c>
      <c r="D52" s="55">
        <v>5000</v>
      </c>
      <c r="E52" s="65">
        <f>SummaryEncryption[[#This Row],[Test Size (KB)]]/SummaryEncryption[[#This Row],[Average (ms)]]</f>
        <v>8.3225093550830938</v>
      </c>
      <c r="F52" s="56">
        <f>HLOOKUP($A52,SumEnc32x32[#All],AVG,FALSE)</f>
        <v>600.7803399999998</v>
      </c>
      <c r="G52" s="56">
        <f>HLOOKUP($A52,SumEnc32x32[#All],MIN,FALSE)</f>
        <v>586.55500000000006</v>
      </c>
      <c r="H52" s="56">
        <f>HLOOKUP($A52,SumEnc32x32[#All],MAX,FALSE)</f>
        <v>781.29000000000008</v>
      </c>
      <c r="I52" s="56">
        <f>HLOOKUP($A52,SumEnc32x32[#All],MED,FALSE)</f>
        <v>590.82249999999999</v>
      </c>
      <c r="J52" s="51">
        <f>VLOOKUP(SummaryEncryption[[#This Row],[Mode]],EncFileSummary[#All],14,FALSE)</f>
        <v>10485760</v>
      </c>
      <c r="K52" s="53">
        <f>SummaryEncryption[[#This Row],[Cipher size (B)]]/1000/SummaryEncryption[[#This Row],[Test Size (KB)]]</f>
        <v>2.0971519999999999</v>
      </c>
      <c r="O52" s="54" t="s">
        <v>4</v>
      </c>
      <c r="P52" s="55" t="s">
        <v>13</v>
      </c>
      <c r="Q52" s="51" t="str">
        <f>CONCATENATE(SummaryDecryption[[#This Row],[Mode]],"_",SummaryDecryption[[#This Row],[Key size (B)]])</f>
        <v>CTR_32B</v>
      </c>
      <c r="R52" s="55">
        <v>5000</v>
      </c>
      <c r="S52" s="65">
        <f>SummaryDecryption[[#This Row],[Test Size (KB)]]/SummaryDecryption[[#This Row],[Average (ms)]]</f>
        <v>6.4865248025638076</v>
      </c>
      <c r="T52" s="56">
        <f>HLOOKUP($A52,SumDec32x32[#All],AVG,FALSE)</f>
        <v>770.82877999999994</v>
      </c>
      <c r="U52" s="56">
        <f>HLOOKUP($A52,SumDec32x32[#All],MIN,FALSE)</f>
        <v>707.04</v>
      </c>
      <c r="V52" s="56">
        <f>HLOOKUP($A52,SumDec32x32[#All],MAX,FALSE)</f>
        <v>1093.83</v>
      </c>
      <c r="W52" s="56">
        <f>HLOOKUP($A52,SumDec32x32[#All],MED,FALSE)</f>
        <v>741.85300000000007</v>
      </c>
      <c r="X52" s="51">
        <f>VLOOKUP(SummaryEncryption[[#This Row],[Mode]],DecFileSummary[#All],14,FALSE)</f>
        <v>5242880</v>
      </c>
      <c r="Y52" s="53">
        <f>SummaryDecryption[[#This Row],[Plain size (B)]]/1000/SummaryDecryption[[#This Row],[Test Size (KB)]]</f>
        <v>1.048576</v>
      </c>
    </row>
    <row r="53" spans="1:25" ht="17" thickTop="1" thickBot="1">
      <c r="A53" s="54" t="s">
        <v>0</v>
      </c>
      <c r="B53" s="55" t="s">
        <v>13</v>
      </c>
      <c r="C53" s="51" t="str">
        <f>CONCATENATE(SummaryEncryption[[#This Row],[Mode]],"_",SummaryEncryption[[#This Row],[Key size (B)]])</f>
        <v>ECB_32B</v>
      </c>
      <c r="D53" s="55">
        <v>10000</v>
      </c>
      <c r="E53" s="65">
        <f>SummaryEncryption[[#This Row],[Test Size (KB)]]/SummaryEncryption[[#This Row],[Average (ms)]]</f>
        <v>8.4363353639030141</v>
      </c>
      <c r="F53" s="56">
        <f>HLOOKUP($A53,SumEnc32x10[#All],AVG,FALSE)</f>
        <v>1185.3488</v>
      </c>
      <c r="G53" s="56">
        <f>HLOOKUP($A53,SumEnc32x10[#All],MIN,FALSE)</f>
        <v>1153.4000000000001</v>
      </c>
      <c r="H53" s="56">
        <f>HLOOKUP($A53,SumEnc32x10[#All],MAX,FALSE)</f>
        <v>1385.54</v>
      </c>
      <c r="I53" s="56">
        <f>HLOOKUP($A53,SumEnc32x10[#All],MED,FALSE)</f>
        <v>1179.395</v>
      </c>
      <c r="J53" s="51">
        <f>VLOOKUP(SummaryEncryption[[#This Row],[Mode]],EncFileSummary[#All],17,FALSE)</f>
        <v>20971552</v>
      </c>
      <c r="K53" s="53">
        <f>SummaryEncryption[[#This Row],[Cipher size (B)]]/1000/SummaryEncryption[[#This Row],[Test Size (KB)]]</f>
        <v>2.0971552</v>
      </c>
      <c r="O53" s="54" t="s">
        <v>0</v>
      </c>
      <c r="P53" s="55" t="s">
        <v>13</v>
      </c>
      <c r="Q53" s="51" t="str">
        <f>CONCATENATE(SummaryDecryption[[#This Row],[Mode]],"_",SummaryDecryption[[#This Row],[Key size (B)]])</f>
        <v>ECB_32B</v>
      </c>
      <c r="R53" s="55">
        <v>10000</v>
      </c>
      <c r="S53" s="65">
        <f>SummaryDecryption[[#This Row],[Test Size (KB)]]/SummaryDecryption[[#This Row],[Average (ms)]]</f>
        <v>13.480331131932353</v>
      </c>
      <c r="T53" s="56">
        <f>HLOOKUP($A53,SumDec32x10[#All],AVG,FALSE)</f>
        <v>741.82153999999991</v>
      </c>
      <c r="U53" s="56">
        <f>HLOOKUP($A53,SumDec32x10[#All],MIN,FALSE)</f>
        <v>658.14</v>
      </c>
      <c r="V53" s="56">
        <f>HLOOKUP($A53,SumDec32x10[#All],MAX,FALSE)</f>
        <v>973.351</v>
      </c>
      <c r="W53" s="56">
        <f>HLOOKUP($A53,SumDec32x10[#All],MED,FALSE)</f>
        <v>739.97149999999999</v>
      </c>
      <c r="X53" s="51">
        <f>VLOOKUP(SummaryEncryption[[#This Row],[Mode]],DecFileSummary[#All],17,FALSE)</f>
        <v>10485760</v>
      </c>
      <c r="Y53" s="53">
        <f>SummaryDecryption[[#This Row],[Plain size (B)]]/1000/SummaryDecryption[[#This Row],[Test Size (KB)]]</f>
        <v>1.048576</v>
      </c>
    </row>
    <row r="54" spans="1:25" ht="17" thickTop="1" thickBot="1">
      <c r="A54" s="54" t="s">
        <v>1</v>
      </c>
      <c r="B54" s="55" t="s">
        <v>13</v>
      </c>
      <c r="C54" s="51" t="str">
        <f>CONCATENATE(SummaryEncryption[[#This Row],[Mode]],"_",SummaryEncryption[[#This Row],[Key size (B)]])</f>
        <v>CBC_32B</v>
      </c>
      <c r="D54" s="55">
        <v>10000</v>
      </c>
      <c r="E54" s="65">
        <f>SummaryEncryption[[#This Row],[Test Size (KB)]]/SummaryEncryption[[#This Row],[Average (ms)]]</f>
        <v>8.4537113652710012</v>
      </c>
      <c r="F54" s="56">
        <f>HLOOKUP($A54,SumEnc32x10[#All],AVG,FALSE)</f>
        <v>1182.9124000000004</v>
      </c>
      <c r="G54" s="56">
        <f>HLOOKUP($A54,SumEnc32x10[#All],MIN,FALSE)</f>
        <v>1156.0600000000002</v>
      </c>
      <c r="H54" s="56">
        <f>HLOOKUP($A54,SumEnc32x10[#All],MAX,FALSE)</f>
        <v>1406.18</v>
      </c>
      <c r="I54" s="56">
        <f>HLOOKUP($A54,SumEnc32x10[#All],MED,FALSE)</f>
        <v>1178.8699999999999</v>
      </c>
      <c r="J54" s="51">
        <f>VLOOKUP(SummaryEncryption[[#This Row],[Mode]],EncFileSummary[#All],17,FALSE)</f>
        <v>20971552</v>
      </c>
      <c r="K54" s="53">
        <f>SummaryEncryption[[#This Row],[Cipher size (B)]]/1000/SummaryEncryption[[#This Row],[Test Size (KB)]]</f>
        <v>2.0971552</v>
      </c>
      <c r="O54" s="54" t="s">
        <v>1</v>
      </c>
      <c r="P54" s="55" t="s">
        <v>13</v>
      </c>
      <c r="Q54" s="51" t="str">
        <f>CONCATENATE(SummaryDecryption[[#This Row],[Mode]],"_",SummaryDecryption[[#This Row],[Key size (B)]])</f>
        <v>CBC_32B</v>
      </c>
      <c r="R54" s="55">
        <v>10000</v>
      </c>
      <c r="S54" s="65">
        <f>SummaryDecryption[[#This Row],[Test Size (KB)]]/SummaryDecryption[[#This Row],[Average (ms)]]</f>
        <v>13.833515631402323</v>
      </c>
      <c r="T54" s="56">
        <f>HLOOKUP($A54,SumDec32x10[#All],AVG,FALSE)</f>
        <v>722.88204000000007</v>
      </c>
      <c r="U54" s="56">
        <f>HLOOKUP($A54,SumDec32x10[#All],MIN,FALSE)</f>
        <v>648.07299999999998</v>
      </c>
      <c r="V54" s="56">
        <f>HLOOKUP($A54,SumDec32x10[#All],MAX,FALSE)</f>
        <v>1083.3399999999999</v>
      </c>
      <c r="W54" s="56">
        <f>HLOOKUP($A54,SumDec32x10[#All],MED,FALSE)</f>
        <v>715.07349999999997</v>
      </c>
      <c r="X54" s="51">
        <f>VLOOKUP(SummaryEncryption[[#This Row],[Mode]],DecFileSummary[#All],17,FALSE)</f>
        <v>10485760</v>
      </c>
      <c r="Y54" s="53">
        <f>SummaryDecryption[[#This Row],[Plain size (B)]]/1000/SummaryDecryption[[#This Row],[Test Size (KB)]]</f>
        <v>1.048576</v>
      </c>
    </row>
    <row r="55" spans="1:25" ht="17" thickTop="1" thickBot="1">
      <c r="A55" s="54" t="s">
        <v>3</v>
      </c>
      <c r="B55" s="55" t="s">
        <v>13</v>
      </c>
      <c r="C55" s="51" t="str">
        <f>CONCATENATE(SummaryEncryption[[#This Row],[Mode]],"_",SummaryEncryption[[#This Row],[Key size (B)]])</f>
        <v>CFB_32B</v>
      </c>
      <c r="D55" s="55">
        <v>10000</v>
      </c>
      <c r="E55" s="65">
        <f>SummaryEncryption[[#This Row],[Test Size (KB)]]/SummaryEncryption[[#This Row],[Average (ms)]]</f>
        <v>8.4396333283145673</v>
      </c>
      <c r="F55" s="56">
        <f>HLOOKUP($A55,SumEnc32x10[#All],AVG,FALSE)</f>
        <v>1184.8855999999996</v>
      </c>
      <c r="G55" s="56">
        <f>HLOOKUP($A55,SumEnc32x10[#All],MIN,FALSE)</f>
        <v>1160.8599999999999</v>
      </c>
      <c r="H55" s="56">
        <f>HLOOKUP($A55,SumEnc32x10[#All],MAX,FALSE)</f>
        <v>1384.45</v>
      </c>
      <c r="I55" s="56">
        <f>HLOOKUP($A55,SumEnc32x10[#All],MED,FALSE)</f>
        <v>1183.895</v>
      </c>
      <c r="J55" s="51">
        <f>VLOOKUP(SummaryEncryption[[#This Row],[Mode]],EncFileSummary[#All],17,FALSE)</f>
        <v>20971520</v>
      </c>
      <c r="K55" s="53">
        <f>SummaryEncryption[[#This Row],[Cipher size (B)]]/1000/SummaryEncryption[[#This Row],[Test Size (KB)]]</f>
        <v>2.0971519999999999</v>
      </c>
      <c r="O55" s="54" t="s">
        <v>3</v>
      </c>
      <c r="P55" s="55" t="s">
        <v>13</v>
      </c>
      <c r="Q55" s="51" t="str">
        <f>CONCATENATE(SummaryDecryption[[#This Row],[Mode]],"_",SummaryDecryption[[#This Row],[Key size (B)]])</f>
        <v>CFB_32B</v>
      </c>
      <c r="R55" s="55">
        <v>10000</v>
      </c>
      <c r="S55" s="65">
        <f>SummaryDecryption[[#This Row],[Test Size (KB)]]/SummaryDecryption[[#This Row],[Average (ms)]]</f>
        <v>6.0701125926974493</v>
      </c>
      <c r="T55" s="56">
        <f>HLOOKUP($A55,SumDec32x10[#All],AVG,FALSE)</f>
        <v>1647.4158999999997</v>
      </c>
      <c r="U55" s="56">
        <f>HLOOKUP($A55,SumDec32x10[#All],MIN,FALSE)</f>
        <v>1483</v>
      </c>
      <c r="V55" s="56">
        <f>HLOOKUP($A55,SumDec32x10[#All],MAX,FALSE)</f>
        <v>2125.83</v>
      </c>
      <c r="W55" s="56">
        <f>HLOOKUP($A55,SumDec32x10[#All],MED,FALSE)</f>
        <v>1622.085</v>
      </c>
      <c r="X55" s="51">
        <f>VLOOKUP(SummaryEncryption[[#This Row],[Mode]],DecFileSummary[#All],17,FALSE)</f>
        <v>10485760</v>
      </c>
      <c r="Y55" s="53">
        <f>SummaryDecryption[[#This Row],[Plain size (B)]]/1000/SummaryDecryption[[#This Row],[Test Size (KB)]]</f>
        <v>1.048576</v>
      </c>
    </row>
    <row r="56" spans="1:25" ht="17" thickTop="1" thickBot="1">
      <c r="A56" s="54" t="s">
        <v>2</v>
      </c>
      <c r="B56" s="55" t="s">
        <v>13</v>
      </c>
      <c r="C56" s="51" t="str">
        <f>CONCATENATE(SummaryEncryption[[#This Row],[Mode]],"_",SummaryEncryption[[#This Row],[Key size (B)]])</f>
        <v>OFB_32B</v>
      </c>
      <c r="D56" s="55">
        <v>10000</v>
      </c>
      <c r="E56" s="65">
        <f>SummaryEncryption[[#This Row],[Test Size (KB)]]/SummaryEncryption[[#This Row],[Average (ms)]]</f>
        <v>8.4074711142413072</v>
      </c>
      <c r="F56" s="56">
        <f>HLOOKUP($A56,SumEnc32x10[#All],AVG,FALSE)</f>
        <v>1189.4182999999998</v>
      </c>
      <c r="G56" s="56">
        <f>HLOOKUP($A56,SumEnc32x10[#All],MIN,FALSE)</f>
        <v>1167.6299999999999</v>
      </c>
      <c r="H56" s="56">
        <f>HLOOKUP($A56,SumEnc32x10[#All],MAX,FALSE)</f>
        <v>1299.6399999999999</v>
      </c>
      <c r="I56" s="56">
        <f>HLOOKUP($A56,SumEnc32x10[#All],MED,FALSE)</f>
        <v>1186.2950000000001</v>
      </c>
      <c r="J56" s="51">
        <f>VLOOKUP(SummaryEncryption[[#This Row],[Mode]],EncFileSummary[#All],17,FALSE)</f>
        <v>20971520</v>
      </c>
      <c r="K56" s="53">
        <f>SummaryEncryption[[#This Row],[Cipher size (B)]]/1000/SummaryEncryption[[#This Row],[Test Size (KB)]]</f>
        <v>2.0971519999999999</v>
      </c>
      <c r="O56" s="54" t="s">
        <v>2</v>
      </c>
      <c r="P56" s="55" t="s">
        <v>13</v>
      </c>
      <c r="Q56" s="51" t="str">
        <f>CONCATENATE(SummaryDecryption[[#This Row],[Mode]],"_",SummaryDecryption[[#This Row],[Key size (B)]])</f>
        <v>OFB_32B</v>
      </c>
      <c r="R56" s="55">
        <v>10000</v>
      </c>
      <c r="S56" s="65">
        <f>SummaryDecryption[[#This Row],[Test Size (KB)]]/SummaryDecryption[[#This Row],[Average (ms)]]</f>
        <v>6.4741328611187141</v>
      </c>
      <c r="T56" s="56">
        <f>HLOOKUP($A56,SumDec32x10[#All],AVG,FALSE)</f>
        <v>1544.6084000000001</v>
      </c>
      <c r="U56" s="56">
        <f>HLOOKUP($A56,SumDec32x10[#All],MIN,FALSE)</f>
        <v>1395.64</v>
      </c>
      <c r="V56" s="56">
        <f>HLOOKUP($A56,SumDec32x10[#All],MAX,FALSE)</f>
        <v>2014.8</v>
      </c>
      <c r="W56" s="56">
        <f>HLOOKUP($A56,SumDec32x10[#All],MED,FALSE)</f>
        <v>1510.635</v>
      </c>
      <c r="X56" s="51">
        <f>VLOOKUP(SummaryEncryption[[#This Row],[Mode]],DecFileSummary[#All],17,FALSE)</f>
        <v>10485760</v>
      </c>
      <c r="Y56" s="53">
        <f>SummaryDecryption[[#This Row],[Plain size (B)]]/1000/SummaryDecryption[[#This Row],[Test Size (KB)]]</f>
        <v>1.048576</v>
      </c>
    </row>
    <row r="57" spans="1:25" ht="17" thickTop="1" thickBot="1">
      <c r="A57" s="54" t="s">
        <v>4</v>
      </c>
      <c r="B57" s="55" t="s">
        <v>13</v>
      </c>
      <c r="C57" s="51" t="str">
        <f>CONCATENATE(SummaryEncryption[[#This Row],[Mode]],"_",SummaryEncryption[[#This Row],[Key size (B)]])</f>
        <v>CTR_32B</v>
      </c>
      <c r="D57" s="55">
        <v>10000</v>
      </c>
      <c r="E57" s="65">
        <f>SummaryEncryption[[#This Row],[Test Size (KB)]]/SummaryEncryption[[#This Row],[Average (ms)]]</f>
        <v>8.4542738340985721</v>
      </c>
      <c r="F57" s="56">
        <f>HLOOKUP($A57,SumEnc32x10[#All],AVG,FALSE)</f>
        <v>1182.8336999999999</v>
      </c>
      <c r="G57" s="56">
        <f>HLOOKUP($A57,SumEnc32x10[#All],MIN,FALSE)</f>
        <v>1154.9100000000001</v>
      </c>
      <c r="H57" s="56">
        <f>HLOOKUP($A57,SumEnc32x10[#All],MAX,FALSE)</f>
        <v>1296.77</v>
      </c>
      <c r="I57" s="56">
        <f>HLOOKUP($A57,SumEnc32x10[#All],MED,FALSE)</f>
        <v>1178.915</v>
      </c>
      <c r="J57" s="51">
        <f>VLOOKUP(SummaryEncryption[[#This Row],[Mode]],EncFileSummary[#All],17,FALSE)</f>
        <v>20971520</v>
      </c>
      <c r="K57" s="53">
        <f>SummaryEncryption[[#This Row],[Cipher size (B)]]/1000/SummaryEncryption[[#This Row],[Test Size (KB)]]</f>
        <v>2.0971519999999999</v>
      </c>
      <c r="O57" s="54" t="s">
        <v>4</v>
      </c>
      <c r="P57" s="55" t="s">
        <v>13</v>
      </c>
      <c r="Q57" s="51" t="str">
        <f>CONCATENATE(SummaryDecryption[[#This Row],[Mode]],"_",SummaryDecryption[[#This Row],[Key size (B)]])</f>
        <v>CTR_32B</v>
      </c>
      <c r="R57" s="55">
        <v>10000</v>
      </c>
      <c r="S57" s="65">
        <f>SummaryDecryption[[#This Row],[Test Size (KB)]]/SummaryDecryption[[#This Row],[Average (ms)]]</f>
        <v>6.404339375421924</v>
      </c>
      <c r="T57" s="56">
        <f>HLOOKUP($A57,SumDec32x10[#All],AVG,FALSE)</f>
        <v>1561.4413000000004</v>
      </c>
      <c r="U57" s="56">
        <f>HLOOKUP($A57,SumDec32x10[#All],MIN,FALSE)</f>
        <v>1405.86</v>
      </c>
      <c r="V57" s="56">
        <f>HLOOKUP($A57,SumDec32x10[#All],MAX,FALSE)</f>
        <v>2162.38</v>
      </c>
      <c r="W57" s="56">
        <f>HLOOKUP($A57,SumDec32x10[#All],MED,FALSE)</f>
        <v>1525.19</v>
      </c>
      <c r="X57" s="51">
        <f>VLOOKUP(SummaryEncryption[[#This Row],[Mode]],DecFileSummary[#All],17,FALSE)</f>
        <v>10485760</v>
      </c>
      <c r="Y57" s="53">
        <f>SummaryDecryption[[#This Row],[Plain size (B)]]/1000/SummaryDecryption[[#This Row],[Test Size (KB)]]</f>
        <v>1.048576</v>
      </c>
    </row>
    <row r="58" spans="1:25" ht="17" thickTop="1" thickBot="1">
      <c r="A58" s="54" t="s">
        <v>0</v>
      </c>
      <c r="B58" s="55" t="s">
        <v>13</v>
      </c>
      <c r="C58" s="51" t="str">
        <f>CONCATENATE(SummaryEncryption[[#This Row],[Mode]],"_",SummaryEncryption[[#This Row],[Key size (B)]])</f>
        <v>ECB_32B</v>
      </c>
      <c r="D58" s="55">
        <v>256000</v>
      </c>
      <c r="E58" s="65">
        <f>SummaryEncryption[[#This Row],[Test Size (KB)]]/SummaryEncryption[[#This Row],[Average (ms)]]</f>
        <v>7.4383067275852373</v>
      </c>
      <c r="F58" s="56">
        <f>HLOOKUP($A58,SumEnc32x256[#All],AVG,FALSE)</f>
        <v>34416.434999999998</v>
      </c>
      <c r="G58" s="56">
        <f>HLOOKUP($A58,SumEnc32x256[#All],MIN,FALSE)</f>
        <v>30698.5</v>
      </c>
      <c r="H58" s="56">
        <f>HLOOKUP($A58,SumEnc32x256[#All],MAX,FALSE)</f>
        <v>78132.2</v>
      </c>
      <c r="I58" s="56">
        <f>HLOOKUP($A58,SumEnc32x256[#All],MED,FALSE)</f>
        <v>32371.65</v>
      </c>
      <c r="J58" s="51">
        <f>VLOOKUP(SummaryEncryption[[#This Row],[Mode]],EncFileSummary[#All],20,FALSE)</f>
        <v>536870944</v>
      </c>
      <c r="K58" s="53">
        <f>SummaryEncryption[[#This Row],[Cipher size (B)]]/1000/SummaryEncryption[[#This Row],[Test Size (KB)]]</f>
        <v>2.097152125</v>
      </c>
      <c r="O58" s="54" t="s">
        <v>0</v>
      </c>
      <c r="P58" s="55" t="s">
        <v>13</v>
      </c>
      <c r="Q58" s="51" t="str">
        <f>CONCATENATE(SummaryDecryption[[#This Row],[Mode]],"_",SummaryDecryption[[#This Row],[Key size (B)]])</f>
        <v>ECB_32B</v>
      </c>
      <c r="R58" s="55">
        <v>256000</v>
      </c>
      <c r="S58" s="65">
        <f>SummaryDecryption[[#This Row],[Test Size (KB)]]/SummaryDecryption[[#This Row],[Average (ms)]]</f>
        <v>14.185623314071915</v>
      </c>
      <c r="T58" s="56">
        <f>HLOOKUP($A58,SumDec32x256[#All],AVG,FALSE)</f>
        <v>18046.440000000002</v>
      </c>
      <c r="U58" s="56">
        <f>HLOOKUP($A58,SumDec32x256[#All],MIN,FALSE)</f>
        <v>17056.7</v>
      </c>
      <c r="V58" s="56">
        <f>HLOOKUP($A58,SumDec32x256[#All],MAX,FALSE)</f>
        <v>19476.5</v>
      </c>
      <c r="W58" s="56">
        <f>HLOOKUP($A58,SumDec32x256[#All],MED,FALSE)</f>
        <v>18076.650000000001</v>
      </c>
      <c r="X58" s="51">
        <f>VLOOKUP(SummaryEncryption[[#This Row],[Mode]],DecFileSummary[#All],20,FALSE)</f>
        <v>268435456</v>
      </c>
      <c r="Y58" s="53">
        <f>SummaryDecryption[[#This Row],[Plain size (B)]]/1000/SummaryDecryption[[#This Row],[Test Size (KB)]]</f>
        <v>1.048576</v>
      </c>
    </row>
    <row r="59" spans="1:25" ht="17" thickTop="1" thickBot="1">
      <c r="A59" s="54" t="s">
        <v>1</v>
      </c>
      <c r="B59" s="55" t="s">
        <v>13</v>
      </c>
      <c r="C59" s="51" t="str">
        <f>CONCATENATE(SummaryEncryption[[#This Row],[Mode]],"_",SummaryEncryption[[#This Row],[Key size (B)]])</f>
        <v>CBC_32B</v>
      </c>
      <c r="D59" s="55">
        <v>256000</v>
      </c>
      <c r="E59" s="65">
        <f>SummaryEncryption[[#This Row],[Test Size (KB)]]/SummaryEncryption[[#This Row],[Average (ms)]]</f>
        <v>7.3820601980479879</v>
      </c>
      <c r="F59" s="56">
        <f>HLOOKUP($A59,SumEnc32x256[#All],AVG,FALSE)</f>
        <v>34678.665999999997</v>
      </c>
      <c r="G59" s="56">
        <f>HLOOKUP($A59,SumEnc32x256[#All],MIN,FALSE)</f>
        <v>30710.899999999998</v>
      </c>
      <c r="H59" s="56">
        <f>HLOOKUP($A59,SumEnc32x256[#All],MAX,FALSE)</f>
        <v>75066.5</v>
      </c>
      <c r="I59" s="56">
        <f>HLOOKUP($A59,SumEnc32x256[#All],MED,FALSE)</f>
        <v>32676.5</v>
      </c>
      <c r="J59" s="51">
        <f>VLOOKUP(SummaryEncryption[[#This Row],[Mode]],EncFileSummary[#All],20,FALSE)</f>
        <v>536870944</v>
      </c>
      <c r="K59" s="53">
        <f>SummaryEncryption[[#This Row],[Cipher size (B)]]/1000/SummaryEncryption[[#This Row],[Test Size (KB)]]</f>
        <v>2.097152125</v>
      </c>
      <c r="O59" s="54" t="s">
        <v>1</v>
      </c>
      <c r="P59" s="55" t="s">
        <v>13</v>
      </c>
      <c r="Q59" s="51" t="str">
        <f>CONCATENATE(SummaryDecryption[[#This Row],[Mode]],"_",SummaryDecryption[[#This Row],[Key size (B)]])</f>
        <v>CBC_32B</v>
      </c>
      <c r="R59" s="55">
        <v>256000</v>
      </c>
      <c r="S59" s="65">
        <f>SummaryDecryption[[#This Row],[Test Size (KB)]]/SummaryDecryption[[#This Row],[Average (ms)]]</f>
        <v>13.998426270671601</v>
      </c>
      <c r="T59" s="56">
        <f>HLOOKUP($A59,SumDec32x256[#All],AVG,FALSE)</f>
        <v>18287.77</v>
      </c>
      <c r="U59" s="56">
        <f>HLOOKUP($A59,SumDec32x256[#All],MIN,FALSE)</f>
        <v>17562.2</v>
      </c>
      <c r="V59" s="56">
        <f>HLOOKUP($A59,SumDec32x256[#All],MAX,FALSE)</f>
        <v>19662.7</v>
      </c>
      <c r="W59" s="56">
        <f>HLOOKUP($A59,SumDec32x256[#All],MED,FALSE)</f>
        <v>18178.5</v>
      </c>
      <c r="X59" s="51">
        <f>VLOOKUP(SummaryEncryption[[#This Row],[Mode]],DecFileSummary[#All],20,FALSE)</f>
        <v>268435456</v>
      </c>
      <c r="Y59" s="53">
        <f>SummaryDecryption[[#This Row],[Plain size (B)]]/1000/SummaryDecryption[[#This Row],[Test Size (KB)]]</f>
        <v>1.048576</v>
      </c>
    </row>
    <row r="60" spans="1:25" ht="17" thickTop="1" thickBot="1">
      <c r="A60" s="54" t="s">
        <v>3</v>
      </c>
      <c r="B60" s="55" t="s">
        <v>13</v>
      </c>
      <c r="C60" s="51" t="str">
        <f>CONCATENATE(SummaryEncryption[[#This Row],[Mode]],"_",SummaryEncryption[[#This Row],[Key size (B)]])</f>
        <v>CFB_32B</v>
      </c>
      <c r="D60" s="55">
        <v>256000</v>
      </c>
      <c r="E60" s="65">
        <f>SummaryEncryption[[#This Row],[Test Size (KB)]]/SummaryEncryption[[#This Row],[Average (ms)]]</f>
        <v>7.2189544703643449</v>
      </c>
      <c r="F60" s="56">
        <f>HLOOKUP($A60,SumEnc32x256[#All],AVG,FALSE)</f>
        <v>35462.199000000001</v>
      </c>
      <c r="G60" s="56">
        <f>HLOOKUP($A60,SumEnc32x256[#All],MIN,FALSE)</f>
        <v>30847.200000000001</v>
      </c>
      <c r="H60" s="56">
        <f>HLOOKUP($A60,SumEnc32x256[#All],MAX,FALSE)</f>
        <v>161560</v>
      </c>
      <c r="I60" s="56">
        <f>HLOOKUP($A60,SumEnc32x256[#All],MED,FALSE)</f>
        <v>32642.95</v>
      </c>
      <c r="J60" s="51">
        <f>VLOOKUP(SummaryEncryption[[#This Row],[Mode]],EncFileSummary[#All],20,FALSE)</f>
        <v>536870912</v>
      </c>
      <c r="K60" s="53">
        <f>SummaryEncryption[[#This Row],[Cipher size (B)]]/1000/SummaryEncryption[[#This Row],[Test Size (KB)]]</f>
        <v>2.0971519999999999</v>
      </c>
      <c r="O60" s="54" t="s">
        <v>3</v>
      </c>
      <c r="P60" s="55" t="s">
        <v>13</v>
      </c>
      <c r="Q60" s="51" t="str">
        <f>CONCATENATE(SummaryDecryption[[#This Row],[Mode]],"_",SummaryDecryption[[#This Row],[Key size (B)]])</f>
        <v>CFB_32B</v>
      </c>
      <c r="R60" s="55">
        <v>256000</v>
      </c>
      <c r="S60" s="65">
        <f>SummaryDecryption[[#This Row],[Test Size (KB)]]/SummaryDecryption[[#This Row],[Average (ms)]]</f>
        <v>6.4479160763423176</v>
      </c>
      <c r="T60" s="56">
        <f>HLOOKUP($A60,SumDec32x256[#All],AVG,FALSE)</f>
        <v>39702.750000000007</v>
      </c>
      <c r="U60" s="56">
        <f>HLOOKUP($A60,SumDec32x256[#All],MIN,FALSE)</f>
        <v>38498.300000000003</v>
      </c>
      <c r="V60" s="56">
        <f>HLOOKUP($A60,SumDec32x256[#All],MAX,FALSE)</f>
        <v>42343.199999999997</v>
      </c>
      <c r="W60" s="56">
        <f>HLOOKUP($A60,SumDec32x256[#All],MED,FALSE)</f>
        <v>39266.550000000003</v>
      </c>
      <c r="X60" s="51">
        <f>VLOOKUP(SummaryEncryption[[#This Row],[Mode]],DecFileSummary[#All],20,FALSE)</f>
        <v>268435456</v>
      </c>
      <c r="Y60" s="53">
        <f>SummaryDecryption[[#This Row],[Plain size (B)]]/1000/SummaryDecryption[[#This Row],[Test Size (KB)]]</f>
        <v>1.048576</v>
      </c>
    </row>
    <row r="61" spans="1:25" ht="17" thickTop="1" thickBot="1">
      <c r="A61" s="54" t="s">
        <v>2</v>
      </c>
      <c r="B61" s="55" t="s">
        <v>13</v>
      </c>
      <c r="C61" s="51" t="str">
        <f>CONCATENATE(SummaryEncryption[[#This Row],[Mode]],"_",SummaryEncryption[[#This Row],[Key size (B)]])</f>
        <v>OFB_32B</v>
      </c>
      <c r="D61" s="55">
        <v>256000</v>
      </c>
      <c r="E61" s="65">
        <f>SummaryEncryption[[#This Row],[Test Size (KB)]]/SummaryEncryption[[#This Row],[Average (ms)]]</f>
        <v>7.2061540781019309</v>
      </c>
      <c r="F61" s="56">
        <f>HLOOKUP($A61,SumEnc32x256[#All],AVG,FALSE)</f>
        <v>35525.190999999999</v>
      </c>
      <c r="G61" s="56">
        <f>HLOOKUP($A61,SumEnc32x256[#All],MIN,FALSE)</f>
        <v>30835</v>
      </c>
      <c r="H61" s="56">
        <f>HLOOKUP($A61,SumEnc32x256[#All],MAX,FALSE)</f>
        <v>187626</v>
      </c>
      <c r="I61" s="56">
        <f>HLOOKUP($A61,SumEnc32x256[#All],MED,FALSE)</f>
        <v>32732.800000000003</v>
      </c>
      <c r="J61" s="51">
        <f>VLOOKUP(SummaryEncryption[[#This Row],[Mode]],EncFileSummary[#All],20,FALSE)</f>
        <v>536870912</v>
      </c>
      <c r="K61" s="53">
        <f>SummaryEncryption[[#This Row],[Cipher size (B)]]/1000/SummaryEncryption[[#This Row],[Test Size (KB)]]</f>
        <v>2.0971519999999999</v>
      </c>
      <c r="O61" s="54" t="s">
        <v>2</v>
      </c>
      <c r="P61" s="55" t="s">
        <v>13</v>
      </c>
      <c r="Q61" s="51" t="str">
        <f>CONCATENATE(SummaryDecryption[[#This Row],[Mode]],"_",SummaryDecryption[[#This Row],[Key size (B)]])</f>
        <v>OFB_32B</v>
      </c>
      <c r="R61" s="55">
        <v>256000</v>
      </c>
      <c r="S61" s="65">
        <f>SummaryDecryption[[#This Row],[Test Size (KB)]]/SummaryDecryption[[#This Row],[Average (ms)]]</f>
        <v>6.6517245375362544</v>
      </c>
      <c r="T61" s="56">
        <f>HLOOKUP($A61,SumDec32x256[#All],AVG,FALSE)</f>
        <v>38486.259999999995</v>
      </c>
      <c r="U61" s="56">
        <f>HLOOKUP($A61,SumDec32x256[#All],MIN,FALSE)</f>
        <v>36217.4</v>
      </c>
      <c r="V61" s="56">
        <f>HLOOKUP($A61,SumDec32x256[#All],MAX,FALSE)</f>
        <v>43328.2</v>
      </c>
      <c r="W61" s="56">
        <f>HLOOKUP($A61,SumDec32x256[#All],MED,FALSE)</f>
        <v>37419.4</v>
      </c>
      <c r="X61" s="51">
        <f>VLOOKUP(SummaryEncryption[[#This Row],[Mode]],DecFileSummary[#All],20,FALSE)</f>
        <v>268435456</v>
      </c>
      <c r="Y61" s="53">
        <f>SummaryDecryption[[#This Row],[Plain size (B)]]/1000/SummaryDecryption[[#This Row],[Test Size (KB)]]</f>
        <v>1.048576</v>
      </c>
    </row>
    <row r="62" spans="1:25" ht="16" thickTop="1">
      <c r="A62" s="54" t="s">
        <v>4</v>
      </c>
      <c r="B62" s="55" t="s">
        <v>13</v>
      </c>
      <c r="C62" s="51" t="str">
        <f>CONCATENATE(SummaryEncryption[[#This Row],[Mode]],"_",SummaryEncryption[[#This Row],[Key size (B)]])</f>
        <v>CTR_32B</v>
      </c>
      <c r="D62" s="55">
        <v>256000</v>
      </c>
      <c r="E62" s="65">
        <f>SummaryEncryption[[#This Row],[Test Size (KB)]]/SummaryEncryption[[#This Row],[Average (ms)]]</f>
        <v>7.3633430405780329</v>
      </c>
      <c r="F62" s="56">
        <f>HLOOKUP($A62,SumEnc32x256[#All],AVG,FALSE)</f>
        <v>34766.816999999995</v>
      </c>
      <c r="G62" s="56">
        <f>HLOOKUP($A62,SumEnc32x256[#All],MIN,FALSE)</f>
        <v>30675.4</v>
      </c>
      <c r="H62" s="56">
        <f>HLOOKUP($A62,SumEnc32x256[#All],MAX,FALSE)</f>
        <v>145321</v>
      </c>
      <c r="I62" s="56">
        <f>HLOOKUP($A62,SumEnc32x256[#All],MED,FALSE)</f>
        <v>32379.599999999999</v>
      </c>
      <c r="J62" s="51">
        <f>VLOOKUP(SummaryEncryption[[#This Row],[Mode]],EncFileSummary[#All],20,FALSE)</f>
        <v>536870912</v>
      </c>
      <c r="K62" s="53">
        <f>SummaryEncryption[[#This Row],[Cipher size (B)]]/1000/SummaryEncryption[[#This Row],[Test Size (KB)]]</f>
        <v>2.0971519999999999</v>
      </c>
      <c r="O62" s="54" t="s">
        <v>4</v>
      </c>
      <c r="P62" s="55" t="s">
        <v>13</v>
      </c>
      <c r="Q62" s="51" t="str">
        <f>CONCATENATE(SummaryDecryption[[#This Row],[Mode]],"_",SummaryDecryption[[#This Row],[Key size (B)]])</f>
        <v>CTR_32B</v>
      </c>
      <c r="R62" s="55">
        <v>256000</v>
      </c>
      <c r="S62" s="65">
        <f>SummaryDecryption[[#This Row],[Test Size (KB)]]/SummaryDecryption[[#This Row],[Average (ms)]]</f>
        <v>6.7367410541473456</v>
      </c>
      <c r="T62" s="56">
        <f>HLOOKUP($A62,SumDec32x256[#All],AVG,FALSE)</f>
        <v>38000.57</v>
      </c>
      <c r="U62" s="56">
        <f>HLOOKUP($A62,SumDec32x256[#All],MIN,FALSE)</f>
        <v>36630.1</v>
      </c>
      <c r="V62" s="56">
        <f>HLOOKUP($A62,SumDec32x256[#All],MAX,FALSE)</f>
        <v>39906.9</v>
      </c>
      <c r="W62" s="56">
        <f>HLOOKUP($A62,SumDec32x256[#All],MED,FALSE)</f>
        <v>37587.300000000003</v>
      </c>
      <c r="X62" s="51">
        <f>VLOOKUP(SummaryEncryption[[#This Row],[Mode]],DecFileSummary[#All],20,FALSE)</f>
        <v>268435456</v>
      </c>
      <c r="Y62" s="53">
        <f>SummaryDecryption[[#This Row],[Plain size (B)]]/1000/SummaryDecryption[[#This Row],[Test Size (KB)]]</f>
        <v>1.048576</v>
      </c>
    </row>
    <row r="63" spans="1:25"/>
    <row r="64" spans="1:25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1">
    <mergeCell ref="O1:X1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20"/>
  <sheetViews>
    <sheetView topLeftCell="A3" workbookViewId="0">
      <selection activeCell="G60" sqref="G60"/>
    </sheetView>
  </sheetViews>
  <sheetFormatPr baseColWidth="10" defaultRowHeight="15" x14ac:dyDescent="0"/>
  <cols>
    <col min="1" max="1" width="26.6640625" bestFit="1" customWidth="1"/>
    <col min="2" max="2" width="13" customWidth="1"/>
    <col min="3" max="3" width="15.33203125" bestFit="1" customWidth="1"/>
    <col min="4" max="6" width="5.83203125" bestFit="1" customWidth="1"/>
    <col min="7" max="13" width="14.83203125" customWidth="1"/>
    <col min="14" max="37" width="25.33203125" customWidth="1"/>
    <col min="38" max="38" width="25.33203125" bestFit="1" customWidth="1"/>
    <col min="39" max="49" width="25.33203125" customWidth="1"/>
  </cols>
  <sheetData>
    <row r="4" spans="1:6">
      <c r="A4" s="13" t="s">
        <v>93</v>
      </c>
      <c r="C4" s="13" t="s">
        <v>98</v>
      </c>
    </row>
    <row r="5" spans="1:6">
      <c r="A5" s="13" t="s">
        <v>7</v>
      </c>
      <c r="B5" s="13" t="s">
        <v>11</v>
      </c>
      <c r="C5" s="66" t="s">
        <v>95</v>
      </c>
      <c r="D5" s="66" t="s">
        <v>96</v>
      </c>
      <c r="E5" s="66" t="s">
        <v>94</v>
      </c>
      <c r="F5" s="66" t="s">
        <v>97</v>
      </c>
    </row>
    <row r="6" spans="1:6">
      <c r="A6" t="s">
        <v>1</v>
      </c>
      <c r="B6" t="s">
        <v>83</v>
      </c>
      <c r="C6" s="66">
        <v>8.5269708942080911</v>
      </c>
      <c r="D6" s="66">
        <v>8.2275437133922651</v>
      </c>
      <c r="E6" s="66">
        <v>8.400537634408602</v>
      </c>
      <c r="F6" s="66">
        <v>8.2866703695566954</v>
      </c>
    </row>
    <row r="7" spans="1:6">
      <c r="B7" t="s">
        <v>84</v>
      </c>
      <c r="C7" s="66">
        <v>8.3744259435696016</v>
      </c>
      <c r="D7" s="66">
        <v>8.4598552627050658</v>
      </c>
      <c r="E7" s="66">
        <v>8.3930703118554391</v>
      </c>
      <c r="F7" s="66">
        <v>7.6472523243166268</v>
      </c>
    </row>
    <row r="8" spans="1:6">
      <c r="B8" t="s">
        <v>85</v>
      </c>
      <c r="C8" s="66">
        <v>8.4796065462562566</v>
      </c>
      <c r="D8" s="66">
        <v>8.2894292005157268</v>
      </c>
      <c r="E8" s="66">
        <v>8.4537113652710012</v>
      </c>
      <c r="F8" s="66">
        <v>7.3820601980479879</v>
      </c>
    </row>
    <row r="9" spans="1:6">
      <c r="A9" t="s">
        <v>3</v>
      </c>
      <c r="B9" t="s">
        <v>83</v>
      </c>
      <c r="C9" s="66">
        <v>8.4848774877024429</v>
      </c>
      <c r="D9" s="66">
        <v>8.228777390637573</v>
      </c>
      <c r="E9" s="66">
        <v>8.3144546711313048</v>
      </c>
      <c r="F9" s="66">
        <v>8.2784313265154648</v>
      </c>
    </row>
    <row r="10" spans="1:6">
      <c r="B10" t="s">
        <v>84</v>
      </c>
      <c r="C10" s="66">
        <v>8.3161210418070528</v>
      </c>
      <c r="D10" s="66">
        <v>8.4336456447253898</v>
      </c>
      <c r="E10" s="66">
        <v>8.4238702831801966</v>
      </c>
      <c r="F10" s="66">
        <v>7.47385159161216</v>
      </c>
    </row>
    <row r="11" spans="1:6">
      <c r="B11" t="s">
        <v>85</v>
      </c>
      <c r="C11" s="66">
        <v>8.4815778856087896</v>
      </c>
      <c r="D11" s="66">
        <v>8.2575573081908988</v>
      </c>
      <c r="E11" s="66">
        <v>8.4396333283145673</v>
      </c>
      <c r="F11" s="66">
        <v>7.2189544703643449</v>
      </c>
    </row>
    <row r="12" spans="1:6">
      <c r="A12" t="s">
        <v>4</v>
      </c>
      <c r="B12" t="s">
        <v>83</v>
      </c>
      <c r="C12" s="66">
        <v>8.5391561725418494</v>
      </c>
      <c r="D12" s="66">
        <v>8.2738431599369129</v>
      </c>
      <c r="E12" s="66">
        <v>8.4781888418217548</v>
      </c>
      <c r="F12" s="66">
        <v>8.3119195881521755</v>
      </c>
    </row>
    <row r="13" spans="1:6">
      <c r="B13" t="s">
        <v>84</v>
      </c>
      <c r="C13" s="66">
        <v>8.4033740555237824</v>
      </c>
      <c r="D13" s="66">
        <v>8.4675335795285651</v>
      </c>
      <c r="E13" s="66">
        <v>8.4188258078431684</v>
      </c>
      <c r="F13" s="66">
        <v>7.4540476162814686</v>
      </c>
    </row>
    <row r="14" spans="1:6">
      <c r="B14" t="s">
        <v>85</v>
      </c>
      <c r="C14" s="66">
        <v>8.5731522649282343</v>
      </c>
      <c r="D14" s="66">
        <v>8.3225093550830938</v>
      </c>
      <c r="E14" s="66">
        <v>8.4542738340985721</v>
      </c>
      <c r="F14" s="66">
        <v>7.3633430405780329</v>
      </c>
    </row>
    <row r="15" spans="1:6">
      <c r="A15" t="s">
        <v>0</v>
      </c>
      <c r="B15" t="s">
        <v>83</v>
      </c>
      <c r="C15" s="66">
        <v>8.4988216808680548</v>
      </c>
      <c r="D15" s="66">
        <v>8.2182299011024771</v>
      </c>
      <c r="E15" s="66">
        <v>8.4600071351700201</v>
      </c>
      <c r="F15" s="66">
        <v>8.3183586630603976</v>
      </c>
    </row>
    <row r="16" spans="1:6">
      <c r="B16" t="s">
        <v>84</v>
      </c>
      <c r="C16" s="66">
        <v>8.3800591464574552</v>
      </c>
      <c r="D16" s="66">
        <v>8.4529993456364139</v>
      </c>
      <c r="E16" s="66">
        <v>8.3813156670844169</v>
      </c>
      <c r="F16" s="66">
        <v>7.4873585748374483</v>
      </c>
    </row>
    <row r="17" spans="1:6">
      <c r="B17" t="s">
        <v>85</v>
      </c>
      <c r="C17" s="66">
        <v>8.4876508499575998</v>
      </c>
      <c r="D17" s="66">
        <v>8.326932697733012</v>
      </c>
      <c r="E17" s="66">
        <v>8.4363353639030141</v>
      </c>
      <c r="F17" s="66">
        <v>7.4383067275852373</v>
      </c>
    </row>
    <row r="18" spans="1:6">
      <c r="A18" t="s">
        <v>2</v>
      </c>
      <c r="B18" t="s">
        <v>83</v>
      </c>
      <c r="C18" s="66">
        <v>8.5368752031776314</v>
      </c>
      <c r="D18" s="66">
        <v>8.2450380454088545</v>
      </c>
      <c r="E18" s="66">
        <v>8.1938299640987342</v>
      </c>
      <c r="F18" s="66">
        <v>8.2688738013524503</v>
      </c>
    </row>
    <row r="19" spans="1:6">
      <c r="B19" t="s">
        <v>84</v>
      </c>
      <c r="C19" s="66">
        <v>8.3812405040545102</v>
      </c>
      <c r="D19" s="66">
        <v>8.4587851529981926</v>
      </c>
      <c r="E19" s="66">
        <v>8.3999258454546357</v>
      </c>
      <c r="F19" s="66">
        <v>7.4878084000867098</v>
      </c>
    </row>
    <row r="20" spans="1:6">
      <c r="B20" t="s">
        <v>85</v>
      </c>
      <c r="C20" s="66">
        <v>8.4245785393971193</v>
      </c>
      <c r="D20" s="66">
        <v>8.2649772876771141</v>
      </c>
      <c r="E20" s="66">
        <v>8.4074711142413072</v>
      </c>
      <c r="F20" s="66">
        <v>7.2061540781019309</v>
      </c>
    </row>
  </sheetData>
  <pageMargins left="0.75" right="0.75" top="1" bottom="1" header="0.5" footer="0.5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20"/>
  <sheetViews>
    <sheetView tabSelected="1" topLeftCell="A2" workbookViewId="0">
      <selection activeCell="I12" sqref="I12"/>
    </sheetView>
  </sheetViews>
  <sheetFormatPr baseColWidth="10" defaultRowHeight="15" x14ac:dyDescent="0"/>
  <cols>
    <col min="1" max="1" width="26" bestFit="1" customWidth="1"/>
    <col min="2" max="2" width="13" customWidth="1"/>
    <col min="3" max="3" width="15.33203125" bestFit="1" customWidth="1"/>
    <col min="4" max="6" width="6.83203125" bestFit="1" customWidth="1"/>
  </cols>
  <sheetData>
    <row r="4" spans="1:6">
      <c r="A4" s="13" t="s">
        <v>93</v>
      </c>
      <c r="C4" s="13" t="s">
        <v>98</v>
      </c>
    </row>
    <row r="5" spans="1:6">
      <c r="A5" s="13" t="s">
        <v>7</v>
      </c>
      <c r="B5" s="13" t="s">
        <v>11</v>
      </c>
      <c r="C5" t="s">
        <v>95</v>
      </c>
      <c r="D5" t="s">
        <v>96</v>
      </c>
      <c r="E5" t="s">
        <v>99</v>
      </c>
      <c r="F5" t="s">
        <v>97</v>
      </c>
    </row>
    <row r="6" spans="1:6">
      <c r="A6" t="s">
        <v>1</v>
      </c>
      <c r="B6" t="s">
        <v>83</v>
      </c>
      <c r="C6" s="66">
        <v>15.396686386742589</v>
      </c>
      <c r="D6" s="66">
        <v>13.468276484860647</v>
      </c>
      <c r="E6" s="66">
        <v>14.015001713894565</v>
      </c>
      <c r="F6" s="66">
        <v>12.452524749392941</v>
      </c>
    </row>
    <row r="7" spans="1:6">
      <c r="B7" t="s">
        <v>84</v>
      </c>
      <c r="C7" s="66">
        <v>15.334142464917397</v>
      </c>
      <c r="D7" s="66">
        <v>14.081942938615347</v>
      </c>
      <c r="E7" s="66">
        <v>14.017849404253313</v>
      </c>
      <c r="F7" s="66">
        <v>12.092160019710226</v>
      </c>
    </row>
    <row r="8" spans="1:6">
      <c r="B8" t="s">
        <v>85</v>
      </c>
      <c r="C8" s="66">
        <v>14.744549935146104</v>
      </c>
      <c r="D8" s="66">
        <v>14.042760092138483</v>
      </c>
      <c r="E8" s="66">
        <v>13.833515631402323</v>
      </c>
      <c r="F8" s="66">
        <v>13.998426270671601</v>
      </c>
    </row>
    <row r="9" spans="1:6">
      <c r="A9" t="s">
        <v>3</v>
      </c>
      <c r="B9" t="s">
        <v>83</v>
      </c>
      <c r="C9" s="66">
        <v>6.5993223419859897</v>
      </c>
      <c r="D9" s="66">
        <v>4.8674063034508137</v>
      </c>
      <c r="E9" s="66">
        <v>6.1789643091899391</v>
      </c>
      <c r="F9" s="66">
        <v>6.2237951784015664</v>
      </c>
    </row>
    <row r="10" spans="1:6">
      <c r="B10" t="s">
        <v>84</v>
      </c>
      <c r="C10" s="66">
        <v>5.243077185069458</v>
      </c>
      <c r="D10" s="66">
        <v>6.2846106865304945</v>
      </c>
      <c r="E10" s="66">
        <v>4.8946571879998677</v>
      </c>
      <c r="F10" s="66">
        <v>5.6301203167707978</v>
      </c>
    </row>
    <row r="11" spans="1:6">
      <c r="B11" t="s">
        <v>85</v>
      </c>
      <c r="C11" s="66">
        <v>6.6279057898866407</v>
      </c>
      <c r="D11" s="66">
        <v>6.288230080805012</v>
      </c>
      <c r="E11" s="66">
        <v>6.0701125926974493</v>
      </c>
      <c r="F11" s="66">
        <v>6.4479160763423176</v>
      </c>
    </row>
    <row r="12" spans="1:6">
      <c r="A12" t="s">
        <v>4</v>
      </c>
      <c r="B12" t="s">
        <v>83</v>
      </c>
      <c r="C12" s="66">
        <v>6.8013251974067623</v>
      </c>
      <c r="D12" s="66">
        <v>6.377446329420585</v>
      </c>
      <c r="E12" s="66">
        <v>6.4894606940179722</v>
      </c>
      <c r="F12" s="66">
        <v>6.3782333220534948</v>
      </c>
    </row>
    <row r="13" spans="1:6">
      <c r="B13" t="s">
        <v>84</v>
      </c>
      <c r="C13" s="66">
        <v>7.064541153460131</v>
      </c>
      <c r="D13" s="66">
        <v>6.5378578779271876</v>
      </c>
      <c r="E13" s="66">
        <v>6.5011347730746376</v>
      </c>
      <c r="F13" s="66">
        <v>5.9060070967134966</v>
      </c>
    </row>
    <row r="14" spans="1:6">
      <c r="B14" t="s">
        <v>85</v>
      </c>
      <c r="C14" s="66">
        <v>6.8736104566861158</v>
      </c>
      <c r="D14" s="66">
        <v>6.4865248025638076</v>
      </c>
      <c r="E14" s="66">
        <v>6.404339375421924</v>
      </c>
      <c r="F14" s="66">
        <v>6.7367410541473456</v>
      </c>
    </row>
    <row r="15" spans="1:6">
      <c r="A15" t="s">
        <v>0</v>
      </c>
      <c r="B15" t="s">
        <v>83</v>
      </c>
      <c r="C15" s="66">
        <v>15.0378133335178</v>
      </c>
      <c r="D15" s="66">
        <v>14.272329694926382</v>
      </c>
      <c r="E15" s="66">
        <v>13.656387749422654</v>
      </c>
      <c r="F15" s="66">
        <v>12.420113442211157</v>
      </c>
    </row>
    <row r="16" spans="1:6">
      <c r="B16" t="s">
        <v>84</v>
      </c>
      <c r="C16" s="66">
        <v>15.298089391019781</v>
      </c>
      <c r="D16" s="66">
        <v>14.030893220693326</v>
      </c>
      <c r="E16" s="66">
        <v>13.958281710954806</v>
      </c>
      <c r="F16" s="66">
        <v>12.024838619385058</v>
      </c>
    </row>
    <row r="17" spans="1:6">
      <c r="B17" t="s">
        <v>85</v>
      </c>
      <c r="C17" s="66">
        <v>14.940588004769634</v>
      </c>
      <c r="D17" s="66">
        <v>13.821493749644096</v>
      </c>
      <c r="E17" s="66">
        <v>13.480331131932353</v>
      </c>
      <c r="F17" s="66">
        <v>14.185623314071915</v>
      </c>
    </row>
    <row r="18" spans="1:6">
      <c r="A18" t="s">
        <v>2</v>
      </c>
      <c r="B18" t="s">
        <v>83</v>
      </c>
      <c r="C18" s="66">
        <v>6.9932158114091916</v>
      </c>
      <c r="D18" s="66">
        <v>6.4178469129925304</v>
      </c>
      <c r="E18" s="66">
        <v>6.4538367704639397</v>
      </c>
      <c r="F18" s="66">
        <v>6.3693922042321711</v>
      </c>
    </row>
    <row r="19" spans="1:6">
      <c r="B19" t="s">
        <v>84</v>
      </c>
      <c r="C19" s="66">
        <v>7.041596966592695</v>
      </c>
      <c r="D19" s="66">
        <v>6.6333574831768116</v>
      </c>
      <c r="E19" s="66">
        <v>6.6559647627900702</v>
      </c>
      <c r="F19" s="66">
        <v>6.0568285726345286</v>
      </c>
    </row>
    <row r="20" spans="1:6">
      <c r="B20" t="s">
        <v>85</v>
      </c>
      <c r="C20" s="66">
        <v>7.0234119819689358</v>
      </c>
      <c r="D20" s="66">
        <v>6.6336002039540194</v>
      </c>
      <c r="E20" s="66">
        <v>6.4741328611187141</v>
      </c>
      <c r="F20" s="66">
        <v>6.6517245375362544</v>
      </c>
    </row>
  </sheetData>
  <pageMargins left="0.75" right="0.75" top="1" bottom="1" header="0.5" footer="0.5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topLeftCell="A2" workbookViewId="0">
      <selection activeCell="H4" sqref="H4:L10"/>
    </sheetView>
  </sheetViews>
  <sheetFormatPr baseColWidth="10" defaultRowHeight="15" x14ac:dyDescent="0"/>
  <cols>
    <col min="1" max="1" width="26.6640625" customWidth="1"/>
    <col min="2" max="5" width="10.6640625" customWidth="1"/>
    <col min="6" max="6" width="10.83203125" customWidth="1"/>
    <col min="7" max="7" width="14" customWidth="1"/>
    <col min="8" max="8" width="26.6640625" customWidth="1"/>
    <col min="9" max="12" width="11.83203125" customWidth="1"/>
    <col min="13" max="13" width="14.33203125" customWidth="1"/>
    <col min="14" max="14" width="11.1640625" customWidth="1"/>
    <col min="15" max="15" width="15.33203125" customWidth="1"/>
    <col min="16" max="16" width="11.1640625" customWidth="1"/>
    <col min="17" max="17" width="15.33203125" customWidth="1"/>
    <col min="18" max="18" width="11.1640625" customWidth="1"/>
    <col min="19" max="19" width="15.33203125" customWidth="1"/>
    <col min="20" max="20" width="11.1640625" customWidth="1"/>
    <col min="21" max="21" width="15.33203125" customWidth="1"/>
    <col min="22" max="22" width="11.1640625" customWidth="1"/>
    <col min="23" max="23" width="15.33203125" customWidth="1"/>
    <col min="24" max="24" width="11.1640625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5" hidden="1">
      <c r="A1" s="15" t="s">
        <v>73</v>
      </c>
      <c r="B1" t="str">
        <f>B2</f>
        <v>(All)</v>
      </c>
      <c r="C1" t="s">
        <v>64</v>
      </c>
      <c r="H1" s="39" t="s">
        <v>74</v>
      </c>
      <c r="I1" s="23" t="str">
        <f>I2</f>
        <v>(All)</v>
      </c>
      <c r="J1" s="23" t="s">
        <v>64</v>
      </c>
    </row>
    <row r="2" spans="1:15">
      <c r="A2" s="13" t="s">
        <v>11</v>
      </c>
      <c r="B2" s="38" t="s">
        <v>80</v>
      </c>
      <c r="C2" s="41" t="s">
        <v>81</v>
      </c>
      <c r="H2" s="13" t="s">
        <v>11</v>
      </c>
      <c r="I2" s="38" t="s">
        <v>80</v>
      </c>
      <c r="J2" s="41" t="s">
        <v>81</v>
      </c>
      <c r="O2" s="40"/>
    </row>
    <row r="4" spans="1:15">
      <c r="A4" s="44" t="s">
        <v>93</v>
      </c>
      <c r="B4" s="13" t="s">
        <v>100</v>
      </c>
      <c r="H4" s="43" t="s">
        <v>93</v>
      </c>
      <c r="I4" s="13" t="s">
        <v>100</v>
      </c>
    </row>
    <row r="5" spans="1:15">
      <c r="A5" s="13" t="s">
        <v>66</v>
      </c>
      <c r="B5" s="67" t="s">
        <v>95</v>
      </c>
      <c r="C5" s="67" t="s">
        <v>96</v>
      </c>
      <c r="D5" s="67" t="s">
        <v>94</v>
      </c>
      <c r="E5" s="67" t="s">
        <v>97</v>
      </c>
      <c r="H5" s="43" t="s">
        <v>66</v>
      </c>
      <c r="I5" s="69" t="s">
        <v>95</v>
      </c>
      <c r="J5" s="69" t="s">
        <v>96</v>
      </c>
      <c r="K5" s="69" t="s">
        <v>94</v>
      </c>
      <c r="L5" s="69" t="s">
        <v>97</v>
      </c>
    </row>
    <row r="6" spans="1:15">
      <c r="A6" s="15" t="s">
        <v>1</v>
      </c>
      <c r="B6" s="68">
        <v>8.4603344613446492</v>
      </c>
      <c r="C6" s="68">
        <v>8.3256093922043526</v>
      </c>
      <c r="D6" s="68">
        <v>8.4157731038450141</v>
      </c>
      <c r="E6" s="68">
        <v>7.7719942973071028</v>
      </c>
      <c r="H6" s="15" t="s">
        <v>1</v>
      </c>
      <c r="I6" s="68">
        <v>15.15845959560203</v>
      </c>
      <c r="J6" s="68">
        <v>13.864326505204824</v>
      </c>
      <c r="K6" s="68">
        <v>13.955455583183401</v>
      </c>
      <c r="L6" s="68">
        <v>12.847703679924924</v>
      </c>
    </row>
    <row r="7" spans="1:15">
      <c r="A7" s="15" t="s">
        <v>3</v>
      </c>
      <c r="B7" s="68">
        <v>8.4275254717060957</v>
      </c>
      <c r="C7" s="68">
        <v>8.3066601145179533</v>
      </c>
      <c r="D7" s="68">
        <v>8.3926527608753556</v>
      </c>
      <c r="E7" s="68">
        <v>7.6570791294973235</v>
      </c>
      <c r="H7" s="15" t="s">
        <v>3</v>
      </c>
      <c r="I7" s="68">
        <v>6.1567684389806958</v>
      </c>
      <c r="J7" s="68">
        <v>5.813415690262107</v>
      </c>
      <c r="K7" s="68">
        <v>5.7145780299624187</v>
      </c>
      <c r="L7" s="68">
        <v>6.1006105238382276</v>
      </c>
    </row>
    <row r="8" spans="1:15">
      <c r="A8" s="15" t="s">
        <v>4</v>
      </c>
      <c r="B8" s="68">
        <v>8.505227497664622</v>
      </c>
      <c r="C8" s="68">
        <v>8.3546286981828572</v>
      </c>
      <c r="D8" s="68">
        <v>8.4504294945878318</v>
      </c>
      <c r="E8" s="68">
        <v>7.709770081670559</v>
      </c>
      <c r="H8" s="15" t="s">
        <v>4</v>
      </c>
      <c r="I8" s="68">
        <v>6.9131589358510039</v>
      </c>
      <c r="J8" s="68">
        <v>6.4672763366371937</v>
      </c>
      <c r="K8" s="68">
        <v>6.4649782808381779</v>
      </c>
      <c r="L8" s="68">
        <v>6.3403271576381117</v>
      </c>
    </row>
    <row r="9" spans="1:15">
      <c r="A9" s="15" t="s">
        <v>0</v>
      </c>
      <c r="B9" s="68">
        <v>8.4555105590943693</v>
      </c>
      <c r="C9" s="68">
        <v>8.3327206481573004</v>
      </c>
      <c r="D9" s="68">
        <v>8.425886055385817</v>
      </c>
      <c r="E9" s="68">
        <v>7.7480079884943605</v>
      </c>
      <c r="H9" s="15" t="s">
        <v>0</v>
      </c>
      <c r="I9" s="68">
        <v>15.092163576435738</v>
      </c>
      <c r="J9" s="68">
        <v>14.041572221754601</v>
      </c>
      <c r="K9" s="68">
        <v>13.698333530769938</v>
      </c>
      <c r="L9" s="68">
        <v>12.876858458556043</v>
      </c>
    </row>
    <row r="10" spans="1:15">
      <c r="A10" s="15" t="s">
        <v>2</v>
      </c>
      <c r="B10" s="68">
        <v>8.4475647488764185</v>
      </c>
      <c r="C10" s="68">
        <v>8.3229334953613883</v>
      </c>
      <c r="D10" s="68">
        <v>8.3337423079315602</v>
      </c>
      <c r="E10" s="68">
        <v>7.6542787598470303</v>
      </c>
      <c r="H10" s="15" t="s">
        <v>2</v>
      </c>
      <c r="I10" s="68">
        <v>7.0194082533236068</v>
      </c>
      <c r="J10" s="68">
        <v>6.5616015333744544</v>
      </c>
      <c r="K10" s="68">
        <v>6.5279781314575756</v>
      </c>
      <c r="L10" s="68">
        <v>6.3593151048009844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topLeftCell="A2" workbookViewId="0">
      <selection activeCell="B2" sqref="B2"/>
    </sheetView>
  </sheetViews>
  <sheetFormatPr baseColWidth="10" defaultRowHeight="15" x14ac:dyDescent="0"/>
  <cols>
    <col min="1" max="1" width="26.6640625" customWidth="1"/>
    <col min="2" max="2" width="13.5" customWidth="1"/>
    <col min="3" max="3" width="13.6640625" customWidth="1"/>
    <col min="4" max="4" width="12.1640625" customWidth="1"/>
    <col min="5" max="5" width="18.6640625" customWidth="1"/>
    <col min="6" max="6" width="26" customWidth="1"/>
    <col min="7" max="7" width="18.6640625" customWidth="1"/>
    <col min="8" max="8" width="26.6640625" customWidth="1"/>
    <col min="9" max="9" width="13.83203125" customWidth="1"/>
    <col min="10" max="10" width="13.6640625" customWidth="1"/>
    <col min="11" max="11" width="12.1640625" customWidth="1"/>
    <col min="12" max="12" width="10.5" customWidth="1"/>
    <col min="13" max="15" width="8.1640625" customWidth="1"/>
    <col min="16" max="16" width="10.5" customWidth="1"/>
    <col min="17" max="19" width="10.83203125" customWidth="1"/>
    <col min="20" max="20" width="11" customWidth="1"/>
    <col min="21" max="23" width="11.83203125" customWidth="1"/>
    <col min="24" max="24" width="12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1" hidden="1">
      <c r="A1" t="s">
        <v>73</v>
      </c>
      <c r="B1">
        <f>B2</f>
        <v>256000</v>
      </c>
      <c r="C1" s="40" t="s">
        <v>75</v>
      </c>
      <c r="H1" t="s">
        <v>74</v>
      </c>
      <c r="I1">
        <f>I2</f>
        <v>256000</v>
      </c>
      <c r="J1" s="40" t="s">
        <v>75</v>
      </c>
    </row>
    <row r="2" spans="1:11">
      <c r="A2" s="13" t="s">
        <v>63</v>
      </c>
      <c r="B2" s="15">
        <v>256000</v>
      </c>
      <c r="C2" s="41" t="s">
        <v>81</v>
      </c>
      <c r="H2" s="13" t="s">
        <v>63</v>
      </c>
      <c r="I2" s="15">
        <v>256000</v>
      </c>
      <c r="J2" s="41" t="s">
        <v>81</v>
      </c>
    </row>
    <row r="4" spans="1:11">
      <c r="A4" s="13" t="s">
        <v>93</v>
      </c>
      <c r="B4" s="13" t="s">
        <v>76</v>
      </c>
      <c r="H4" s="13" t="s">
        <v>93</v>
      </c>
      <c r="I4" s="13" t="s">
        <v>78</v>
      </c>
    </row>
    <row r="5" spans="1:11">
      <c r="A5" s="13" t="s">
        <v>66</v>
      </c>
      <c r="B5" t="s">
        <v>12</v>
      </c>
      <c r="C5" t="s">
        <v>14</v>
      </c>
      <c r="D5" t="s">
        <v>13</v>
      </c>
      <c r="H5" s="13" t="s">
        <v>65</v>
      </c>
      <c r="I5" t="s">
        <v>12</v>
      </c>
      <c r="J5" t="s">
        <v>14</v>
      </c>
      <c r="K5" t="s">
        <v>13</v>
      </c>
    </row>
    <row r="6" spans="1:11">
      <c r="A6" s="15" t="s">
        <v>1</v>
      </c>
      <c r="B6" s="66">
        <v>8.2866703695566954</v>
      </c>
      <c r="C6" s="66">
        <v>7.6472523243166268</v>
      </c>
      <c r="D6" s="66">
        <v>7.3820601980479879</v>
      </c>
      <c r="H6" s="15" t="s">
        <v>1</v>
      </c>
      <c r="I6" s="66">
        <v>12.452524749392941</v>
      </c>
      <c r="J6" s="66">
        <v>12.092160019710226</v>
      </c>
      <c r="K6" s="66">
        <v>13.998426270671601</v>
      </c>
    </row>
    <row r="7" spans="1:11">
      <c r="A7" s="15" t="s">
        <v>3</v>
      </c>
      <c r="B7" s="66">
        <v>8.2784313265154648</v>
      </c>
      <c r="C7" s="66">
        <v>7.47385159161216</v>
      </c>
      <c r="D7" s="66">
        <v>7.2189544703643449</v>
      </c>
      <c r="H7" s="15" t="s">
        <v>3</v>
      </c>
      <c r="I7" s="66">
        <v>6.2237951784015664</v>
      </c>
      <c r="J7" s="66">
        <v>5.6301203167707978</v>
      </c>
      <c r="K7" s="66">
        <v>6.4479160763423176</v>
      </c>
    </row>
    <row r="8" spans="1:11">
      <c r="A8" s="15" t="s">
        <v>4</v>
      </c>
      <c r="B8" s="66">
        <v>8.3119195881521755</v>
      </c>
      <c r="C8" s="66">
        <v>7.4540476162814686</v>
      </c>
      <c r="D8" s="66">
        <v>7.3633430405780329</v>
      </c>
      <c r="H8" s="15" t="s">
        <v>4</v>
      </c>
      <c r="I8" s="66">
        <v>6.3782333220534948</v>
      </c>
      <c r="J8" s="66">
        <v>5.9060070967134966</v>
      </c>
      <c r="K8" s="66">
        <v>6.7367410541473456</v>
      </c>
    </row>
    <row r="9" spans="1:11">
      <c r="A9" s="15" t="s">
        <v>0</v>
      </c>
      <c r="B9" s="66">
        <v>8.3183586630603976</v>
      </c>
      <c r="C9" s="66">
        <v>7.4873585748374483</v>
      </c>
      <c r="D9" s="66">
        <v>7.4383067275852373</v>
      </c>
      <c r="H9" s="15" t="s">
        <v>0</v>
      </c>
      <c r="I9" s="66">
        <v>12.420113442211157</v>
      </c>
      <c r="J9" s="66">
        <v>12.024838619385058</v>
      </c>
      <c r="K9" s="66">
        <v>14.185623314071915</v>
      </c>
    </row>
    <row r="10" spans="1:11">
      <c r="A10" s="15" t="s">
        <v>2</v>
      </c>
      <c r="B10" s="66">
        <v>8.2688738013524503</v>
      </c>
      <c r="C10" s="66">
        <v>7.4878084000867098</v>
      </c>
      <c r="D10" s="66">
        <v>7.2061540781019309</v>
      </c>
      <c r="H10" s="15" t="s">
        <v>2</v>
      </c>
      <c r="I10" s="66">
        <v>6.3693922042321711</v>
      </c>
      <c r="J10" s="66">
        <v>6.0568285726345286</v>
      </c>
      <c r="K10" s="66">
        <v>6.6517245375362544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topLeftCell="A2" workbookViewId="0">
      <selection activeCell="I12" sqref="I12"/>
    </sheetView>
  </sheetViews>
  <sheetFormatPr baseColWidth="10" defaultRowHeight="15" x14ac:dyDescent="0"/>
  <cols>
    <col min="1" max="1" width="26.6640625" customWidth="1"/>
    <col min="2" max="2" width="13.1640625" customWidth="1"/>
    <col min="3" max="3" width="13.6640625" customWidth="1"/>
    <col min="4" max="4" width="5.83203125" customWidth="1"/>
    <col min="5" max="5" width="23" customWidth="1"/>
    <col min="6" max="6" width="18" bestFit="1" customWidth="1"/>
    <col min="7" max="7" width="23" bestFit="1" customWidth="1"/>
    <col min="12" max="12" width="26.6640625" customWidth="1"/>
    <col min="13" max="13" width="14.33203125" customWidth="1"/>
    <col min="14" max="14" width="13.6640625" customWidth="1"/>
    <col min="15" max="15" width="6.83203125" customWidth="1"/>
    <col min="16" max="16" width="10.83203125" customWidth="1"/>
  </cols>
  <sheetData>
    <row r="1" spans="1:16" hidden="1">
      <c r="A1" t="s">
        <v>73</v>
      </c>
      <c r="B1" t="str">
        <f>B2</f>
        <v>(All)</v>
      </c>
      <c r="C1" t="s">
        <v>7</v>
      </c>
      <c r="L1" t="s">
        <v>74</v>
      </c>
      <c r="M1" t="str">
        <f>M2</f>
        <v>(All)</v>
      </c>
      <c r="N1" t="s">
        <v>7</v>
      </c>
    </row>
    <row r="2" spans="1:16">
      <c r="A2" s="13" t="s">
        <v>7</v>
      </c>
      <c r="B2" t="s">
        <v>80</v>
      </c>
      <c r="C2" s="41" t="s">
        <v>81</v>
      </c>
      <c r="L2" s="13" t="s">
        <v>7</v>
      </c>
      <c r="M2" t="s">
        <v>80</v>
      </c>
      <c r="N2" s="45" t="s">
        <v>81</v>
      </c>
      <c r="O2" s="23"/>
      <c r="P2" s="23"/>
    </row>
    <row r="4" spans="1:16">
      <c r="A4" s="13" t="s">
        <v>93</v>
      </c>
      <c r="B4" s="13" t="s">
        <v>76</v>
      </c>
      <c r="L4" s="13" t="s">
        <v>93</v>
      </c>
      <c r="M4" s="13" t="s">
        <v>77</v>
      </c>
    </row>
    <row r="5" spans="1:16">
      <c r="A5" s="13" t="s">
        <v>100</v>
      </c>
      <c r="B5" t="s">
        <v>12</v>
      </c>
      <c r="C5" t="s">
        <v>14</v>
      </c>
      <c r="D5" t="s">
        <v>13</v>
      </c>
      <c r="L5" s="13" t="s">
        <v>100</v>
      </c>
      <c r="M5" t="s">
        <v>12</v>
      </c>
      <c r="N5" t="s">
        <v>14</v>
      </c>
      <c r="O5" t="s">
        <v>13</v>
      </c>
    </row>
    <row r="6" spans="1:16">
      <c r="A6" s="15" t="s">
        <v>95</v>
      </c>
      <c r="B6" s="66">
        <v>8.5173402876996143</v>
      </c>
      <c r="C6" s="66">
        <v>8.3710441382824818</v>
      </c>
      <c r="D6" s="66">
        <v>8.4893132172295989</v>
      </c>
      <c r="L6" s="15" t="s">
        <v>95</v>
      </c>
      <c r="M6" s="66">
        <v>10.165672614212466</v>
      </c>
      <c r="N6" s="66">
        <v>9.996289432211892</v>
      </c>
      <c r="O6" s="66">
        <v>10.042013233691486</v>
      </c>
    </row>
    <row r="7" spans="1:16">
      <c r="A7" s="15" t="s">
        <v>94</v>
      </c>
      <c r="B7" s="66">
        <v>8.3694036493260846</v>
      </c>
      <c r="C7" s="66">
        <v>8.4034015830835713</v>
      </c>
      <c r="D7" s="66">
        <v>8.438285001165692</v>
      </c>
      <c r="L7" s="15" t="s">
        <v>94</v>
      </c>
      <c r="M7" s="66">
        <v>9.358730247397812</v>
      </c>
      <c r="N7" s="66">
        <v>9.2055775678145402</v>
      </c>
      <c r="O7" s="66">
        <v>9.2524863185145527</v>
      </c>
    </row>
    <row r="8" spans="1:16">
      <c r="A8" s="15" t="s">
        <v>97</v>
      </c>
      <c r="B8" s="66">
        <v>8.2928507497274353</v>
      </c>
      <c r="C8" s="66">
        <v>7.5100637014268825</v>
      </c>
      <c r="D8" s="66">
        <v>7.321763702935506</v>
      </c>
      <c r="L8" s="15" t="s">
        <v>97</v>
      </c>
      <c r="M8" s="66">
        <v>8.7688117792582663</v>
      </c>
      <c r="N8" s="66">
        <v>8.3419909250428219</v>
      </c>
      <c r="O8" s="66">
        <v>9.6040862505538875</v>
      </c>
    </row>
    <row r="9" spans="1:16">
      <c r="A9" s="15" t="s">
        <v>96</v>
      </c>
      <c r="B9" s="66">
        <v>8.2386864420956165</v>
      </c>
      <c r="C9" s="66">
        <v>8.4545637971187269</v>
      </c>
      <c r="D9" s="66">
        <v>8.2922811698399688</v>
      </c>
      <c r="L9" s="15" t="s">
        <v>96</v>
      </c>
      <c r="M9" s="66">
        <v>9.0806611451301915</v>
      </c>
      <c r="N9" s="66">
        <v>9.5137324413886315</v>
      </c>
      <c r="O9" s="66">
        <v>9.4545217858210826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topLeftCell="W2" workbookViewId="0">
      <selection activeCell="AJ106" sqref="AJ106:AJ110"/>
    </sheetView>
  </sheetViews>
  <sheetFormatPr baseColWidth="10" defaultRowHeight="15" x14ac:dyDescent="0"/>
  <cols>
    <col min="1" max="1" width="11" customWidth="1"/>
  </cols>
  <sheetData>
    <row r="1" spans="1:41">
      <c r="B1" t="s">
        <v>15</v>
      </c>
      <c r="I1" t="s">
        <v>16</v>
      </c>
      <c r="P1" t="s">
        <v>17</v>
      </c>
      <c r="W1" t="s">
        <v>18</v>
      </c>
      <c r="AD1" t="s">
        <v>19</v>
      </c>
      <c r="AK1" t="s">
        <v>20</v>
      </c>
    </row>
    <row r="2" spans="1:41">
      <c r="A2" t="s">
        <v>22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117.742</v>
      </c>
      <c r="C3">
        <v>124.822</v>
      </c>
      <c r="D3">
        <v>115.297</v>
      </c>
      <c r="E3">
        <v>143.66399999999999</v>
      </c>
      <c r="F3">
        <v>115.70700000000001</v>
      </c>
      <c r="I3">
        <v>134.18</v>
      </c>
      <c r="J3" s="1">
        <v>129.12899999999999</v>
      </c>
      <c r="K3" s="1">
        <v>129.34599999999998</v>
      </c>
      <c r="L3" s="1">
        <v>123.89</v>
      </c>
      <c r="M3" s="1">
        <v>120.919</v>
      </c>
      <c r="N3" s="1"/>
      <c r="P3">
        <v>119.333</v>
      </c>
      <c r="Q3">
        <v>117.45400000000001</v>
      </c>
      <c r="R3">
        <v>123.815</v>
      </c>
      <c r="S3">
        <v>150.65100000000001</v>
      </c>
      <c r="T3">
        <v>117.38600000000001</v>
      </c>
      <c r="W3">
        <v>66.450999999999993</v>
      </c>
      <c r="X3">
        <v>64.61</v>
      </c>
      <c r="Y3">
        <v>140.84100000000001</v>
      </c>
      <c r="Z3">
        <v>152.44999999999999</v>
      </c>
      <c r="AA3">
        <v>147.06800000000001</v>
      </c>
      <c r="AD3">
        <v>75.942999999999998</v>
      </c>
      <c r="AE3">
        <v>66.563000000000002</v>
      </c>
      <c r="AF3">
        <v>141.631</v>
      </c>
      <c r="AG3">
        <v>188.75800000000001</v>
      </c>
      <c r="AH3">
        <v>140.81700000000001</v>
      </c>
      <c r="AK3">
        <v>77.263999999999996</v>
      </c>
      <c r="AL3">
        <v>68.239000000000004</v>
      </c>
      <c r="AM3">
        <v>140.934</v>
      </c>
      <c r="AN3">
        <v>154.72999999999999</v>
      </c>
      <c r="AO3">
        <v>224.48599999999999</v>
      </c>
    </row>
    <row r="4" spans="1:41">
      <c r="A4">
        <v>2</v>
      </c>
      <c r="B4">
        <v>115.04600000000001</v>
      </c>
      <c r="C4">
        <v>115.38</v>
      </c>
      <c r="D4">
        <v>114.44200000000001</v>
      </c>
      <c r="E4" s="1">
        <v>115.961</v>
      </c>
      <c r="F4" s="1">
        <v>116.419</v>
      </c>
      <c r="G4" s="1"/>
      <c r="I4">
        <v>120.84399999999999</v>
      </c>
      <c r="J4" s="1">
        <v>118.69499999999999</v>
      </c>
      <c r="K4" s="1">
        <v>123.89699999999999</v>
      </c>
      <c r="L4">
        <v>120.084</v>
      </c>
      <c r="M4" s="1">
        <v>122.111</v>
      </c>
      <c r="N4" s="1"/>
      <c r="P4">
        <v>118.053</v>
      </c>
      <c r="Q4" s="1">
        <v>117.407</v>
      </c>
      <c r="R4" s="1">
        <v>117.40599999999999</v>
      </c>
      <c r="S4">
        <v>117.27799999999999</v>
      </c>
      <c r="T4" s="1">
        <v>116.654</v>
      </c>
      <c r="U4" s="1"/>
      <c r="W4">
        <v>64.587999999999994</v>
      </c>
      <c r="X4">
        <v>66.141999999999996</v>
      </c>
      <c r="Y4">
        <v>143.626</v>
      </c>
      <c r="Z4">
        <v>146.34200000000001</v>
      </c>
      <c r="AA4">
        <v>146.446</v>
      </c>
      <c r="AD4">
        <v>91.540999999999997</v>
      </c>
      <c r="AE4">
        <v>65</v>
      </c>
      <c r="AF4">
        <v>141.10400000000001</v>
      </c>
      <c r="AG4">
        <v>191.25200000000001</v>
      </c>
      <c r="AH4">
        <v>141.506</v>
      </c>
      <c r="AK4">
        <v>66.590999999999994</v>
      </c>
      <c r="AL4">
        <v>69.063000000000002</v>
      </c>
      <c r="AM4">
        <v>141.774</v>
      </c>
      <c r="AN4">
        <v>173.67500000000001</v>
      </c>
      <c r="AO4">
        <v>143.922</v>
      </c>
    </row>
    <row r="5" spans="1:41">
      <c r="A5">
        <v>3</v>
      </c>
      <c r="B5">
        <v>113.931</v>
      </c>
      <c r="C5" s="1">
        <v>114.258</v>
      </c>
      <c r="D5" s="1">
        <v>115.148</v>
      </c>
      <c r="E5">
        <v>115.60599999999999</v>
      </c>
      <c r="F5" s="1">
        <v>115.202</v>
      </c>
      <c r="G5" s="1"/>
      <c r="I5">
        <v>126.155</v>
      </c>
      <c r="J5">
        <v>123.874</v>
      </c>
      <c r="K5" s="1">
        <v>122.28</v>
      </c>
      <c r="L5" s="1">
        <v>149.44399999999999</v>
      </c>
      <c r="M5" s="1">
        <v>125.49199999999999</v>
      </c>
      <c r="N5" s="1"/>
      <c r="P5">
        <v>116.196</v>
      </c>
      <c r="Q5">
        <v>115.866</v>
      </c>
      <c r="R5" s="1">
        <v>116.492</v>
      </c>
      <c r="S5" s="1">
        <v>116.953</v>
      </c>
      <c r="T5" s="1">
        <v>115.577</v>
      </c>
      <c r="U5" s="1"/>
      <c r="W5">
        <v>71.084999999999994</v>
      </c>
      <c r="X5">
        <v>67.192999999999998</v>
      </c>
      <c r="Y5">
        <v>143.04</v>
      </c>
      <c r="Z5">
        <v>181.548</v>
      </c>
      <c r="AA5">
        <v>146.62700000000001</v>
      </c>
      <c r="AD5">
        <v>64.177000000000007</v>
      </c>
      <c r="AE5">
        <v>64.251000000000005</v>
      </c>
      <c r="AF5">
        <v>139.76499999999999</v>
      </c>
      <c r="AG5">
        <v>188.72</v>
      </c>
      <c r="AH5">
        <v>140.596</v>
      </c>
      <c r="AK5">
        <v>65.894000000000005</v>
      </c>
      <c r="AL5">
        <v>68.733999999999995</v>
      </c>
      <c r="AM5">
        <v>140.57</v>
      </c>
      <c r="AN5">
        <v>149.398</v>
      </c>
      <c r="AO5">
        <v>142.22800000000001</v>
      </c>
    </row>
    <row r="6" spans="1:41">
      <c r="A6">
        <v>4</v>
      </c>
      <c r="B6">
        <v>114.09399999999999</v>
      </c>
      <c r="C6" s="1">
        <v>114.809</v>
      </c>
      <c r="D6">
        <v>114.18599999999999</v>
      </c>
      <c r="E6" s="1">
        <v>117.22200000000001</v>
      </c>
      <c r="F6" s="1">
        <v>116.292</v>
      </c>
      <c r="G6" s="1"/>
      <c r="I6">
        <v>120.524</v>
      </c>
      <c r="J6" s="1">
        <v>153.27599999999998</v>
      </c>
      <c r="K6" s="1">
        <v>121.886</v>
      </c>
      <c r="L6" s="1">
        <v>122.176</v>
      </c>
      <c r="M6" s="1">
        <v>122.548</v>
      </c>
      <c r="N6" s="1"/>
      <c r="P6">
        <v>116.818</v>
      </c>
      <c r="Q6" s="1">
        <v>119.93900000000001</v>
      </c>
      <c r="R6" s="1">
        <v>119.253</v>
      </c>
      <c r="S6" s="1">
        <v>116.601</v>
      </c>
      <c r="T6" s="1">
        <v>115.663</v>
      </c>
      <c r="U6" s="1"/>
      <c r="W6">
        <v>65.884</v>
      </c>
      <c r="X6">
        <v>65.664000000000001</v>
      </c>
      <c r="Y6">
        <v>140.13999999999999</v>
      </c>
      <c r="Z6">
        <v>146.97200000000001</v>
      </c>
      <c r="AA6">
        <v>149.16999999999999</v>
      </c>
      <c r="AD6">
        <v>64.123000000000005</v>
      </c>
      <c r="AE6">
        <v>64.305000000000007</v>
      </c>
      <c r="AF6">
        <v>141.12200000000001</v>
      </c>
      <c r="AG6">
        <v>187.83199999999999</v>
      </c>
      <c r="AH6">
        <v>140.21299999999999</v>
      </c>
      <c r="AK6">
        <v>65.747</v>
      </c>
      <c r="AL6">
        <v>66.84</v>
      </c>
      <c r="AM6">
        <v>140.87899999999999</v>
      </c>
      <c r="AN6">
        <v>148.084</v>
      </c>
      <c r="AO6">
        <v>142.35</v>
      </c>
    </row>
    <row r="7" spans="1:41">
      <c r="A7">
        <v>5</v>
      </c>
      <c r="B7">
        <v>115.233</v>
      </c>
      <c r="C7" s="1">
        <v>116.422</v>
      </c>
      <c r="D7" s="1">
        <v>115.758</v>
      </c>
      <c r="E7" s="1">
        <v>115.503</v>
      </c>
      <c r="F7" s="1">
        <v>140.39099999999999</v>
      </c>
      <c r="G7" s="1"/>
      <c r="I7">
        <v>120.373</v>
      </c>
      <c r="J7" s="1">
        <v>119.637</v>
      </c>
      <c r="K7" s="1">
        <v>121.17</v>
      </c>
      <c r="L7" s="1">
        <v>126.80500000000001</v>
      </c>
      <c r="M7" s="1">
        <v>120.173</v>
      </c>
      <c r="N7" s="1"/>
      <c r="P7">
        <v>134.435</v>
      </c>
      <c r="Q7" s="1">
        <v>116.505</v>
      </c>
      <c r="R7" s="1">
        <v>116.92</v>
      </c>
      <c r="S7" s="1">
        <v>117.76599999999999</v>
      </c>
      <c r="T7" s="1">
        <v>116.67700000000001</v>
      </c>
      <c r="U7" s="1"/>
      <c r="W7">
        <v>67.594999999999999</v>
      </c>
      <c r="X7">
        <v>67.370999999999995</v>
      </c>
      <c r="Y7">
        <v>144.13999999999999</v>
      </c>
      <c r="Z7">
        <v>157.43199999999999</v>
      </c>
      <c r="AA7">
        <v>147.691</v>
      </c>
      <c r="AD7">
        <v>64.956000000000003</v>
      </c>
      <c r="AE7">
        <v>64.337999999999994</v>
      </c>
      <c r="AF7">
        <v>139.797</v>
      </c>
      <c r="AG7">
        <v>187.85499999999999</v>
      </c>
      <c r="AH7">
        <v>140.04900000000001</v>
      </c>
      <c r="AK7">
        <v>70.352000000000004</v>
      </c>
      <c r="AL7">
        <v>66.334000000000003</v>
      </c>
      <c r="AM7">
        <v>140.29900000000001</v>
      </c>
      <c r="AN7">
        <v>148.16399999999999</v>
      </c>
      <c r="AO7">
        <v>143.005</v>
      </c>
    </row>
    <row r="8" spans="1:41">
      <c r="A8">
        <v>6</v>
      </c>
      <c r="B8">
        <v>115.337</v>
      </c>
      <c r="C8" s="1">
        <v>115.46599999999999</v>
      </c>
      <c r="D8" s="1">
        <v>114.55</v>
      </c>
      <c r="E8" s="1">
        <v>118.482</v>
      </c>
      <c r="F8" s="1">
        <v>130.845</v>
      </c>
      <c r="G8" s="1"/>
      <c r="I8">
        <v>128.202</v>
      </c>
      <c r="J8" s="1">
        <v>122.348</v>
      </c>
      <c r="K8" s="1">
        <v>137.453</v>
      </c>
      <c r="L8">
        <v>119.934</v>
      </c>
      <c r="M8" s="1">
        <v>116.935</v>
      </c>
      <c r="N8" s="1"/>
      <c r="P8">
        <v>117.22</v>
      </c>
      <c r="Q8" s="1">
        <v>115.538</v>
      </c>
      <c r="R8" s="1">
        <v>116.319</v>
      </c>
      <c r="S8" s="1">
        <v>117.646</v>
      </c>
      <c r="T8" s="1">
        <v>115.313</v>
      </c>
      <c r="U8" s="1"/>
      <c r="W8">
        <v>66.495999999999995</v>
      </c>
      <c r="X8">
        <v>69.028999999999996</v>
      </c>
      <c r="Y8">
        <v>147.917</v>
      </c>
      <c r="Z8">
        <v>150.04900000000001</v>
      </c>
      <c r="AA8">
        <v>148.62</v>
      </c>
      <c r="AD8">
        <v>64.305999999999997</v>
      </c>
      <c r="AE8">
        <v>85.043999999999997</v>
      </c>
      <c r="AF8">
        <v>141.321</v>
      </c>
      <c r="AG8">
        <v>187.864</v>
      </c>
      <c r="AH8">
        <v>140.26499999999999</v>
      </c>
      <c r="AK8">
        <v>66.043000000000006</v>
      </c>
      <c r="AL8">
        <v>66.816999999999993</v>
      </c>
      <c r="AM8">
        <v>140.697</v>
      </c>
      <c r="AN8">
        <v>148.14400000000001</v>
      </c>
      <c r="AO8">
        <v>169.80699999999999</v>
      </c>
    </row>
    <row r="9" spans="1:41">
      <c r="A9">
        <v>7</v>
      </c>
      <c r="B9">
        <v>116.657</v>
      </c>
      <c r="C9" s="1">
        <v>116.283</v>
      </c>
      <c r="D9" s="1">
        <v>120.764</v>
      </c>
      <c r="E9" s="1">
        <v>116.506</v>
      </c>
      <c r="F9">
        <v>116.57</v>
      </c>
      <c r="I9">
        <v>121.956</v>
      </c>
      <c r="J9" s="1">
        <v>124.742</v>
      </c>
      <c r="K9" s="1">
        <v>126.557</v>
      </c>
      <c r="L9" s="1">
        <v>123.532</v>
      </c>
      <c r="M9" s="1">
        <v>118.66300000000001</v>
      </c>
      <c r="N9" s="1"/>
      <c r="P9">
        <v>116.663</v>
      </c>
      <c r="Q9" s="1">
        <v>116.029</v>
      </c>
      <c r="R9" s="1">
        <v>118.34400000000001</v>
      </c>
      <c r="S9" s="1">
        <v>117.589</v>
      </c>
      <c r="T9" s="1">
        <v>115.45</v>
      </c>
      <c r="U9" s="1"/>
      <c r="W9">
        <v>66.518000000000001</v>
      </c>
      <c r="X9">
        <v>64.111000000000004</v>
      </c>
      <c r="Y9">
        <v>141.80199999999999</v>
      </c>
      <c r="Z9">
        <v>153.06800000000001</v>
      </c>
      <c r="AA9">
        <v>173.04900000000001</v>
      </c>
      <c r="AD9">
        <v>64.134</v>
      </c>
      <c r="AE9">
        <v>64.847999999999999</v>
      </c>
      <c r="AF9">
        <v>139.322</v>
      </c>
      <c r="AG9">
        <v>187.09</v>
      </c>
      <c r="AH9">
        <v>139.87100000000001</v>
      </c>
      <c r="AK9">
        <v>66.438000000000002</v>
      </c>
      <c r="AL9">
        <v>66.540999999999997</v>
      </c>
      <c r="AM9">
        <v>140.345</v>
      </c>
      <c r="AN9">
        <v>147.94800000000001</v>
      </c>
      <c r="AO9">
        <v>142.173</v>
      </c>
    </row>
    <row r="10" spans="1:41" hidden="1">
      <c r="A10">
        <v>8</v>
      </c>
      <c r="B10">
        <v>115.47499999999999</v>
      </c>
      <c r="C10">
        <v>115.63</v>
      </c>
      <c r="D10">
        <v>115.491</v>
      </c>
      <c r="E10" s="1">
        <v>118.52600000000001</v>
      </c>
      <c r="F10">
        <v>116.83</v>
      </c>
      <c r="I10">
        <v>117.21899999999999</v>
      </c>
      <c r="J10" s="1">
        <v>116.21</v>
      </c>
      <c r="K10" s="1">
        <v>121.485</v>
      </c>
      <c r="L10">
        <v>164.38200000000001</v>
      </c>
      <c r="M10">
        <v>120.63500000000001</v>
      </c>
      <c r="P10">
        <v>116.61</v>
      </c>
      <c r="Q10" s="1">
        <v>116.35900000000001</v>
      </c>
      <c r="R10" s="1">
        <v>116.86399999999999</v>
      </c>
      <c r="S10" s="1">
        <v>116.18599999999999</v>
      </c>
      <c r="T10" s="1">
        <v>115.52500000000001</v>
      </c>
      <c r="U10" s="1"/>
      <c r="W10">
        <v>65.192999999999998</v>
      </c>
      <c r="X10">
        <v>66.662000000000006</v>
      </c>
      <c r="Y10">
        <v>140.71299999999999</v>
      </c>
      <c r="Z10">
        <v>146.49700000000001</v>
      </c>
      <c r="AA10">
        <v>145.56</v>
      </c>
      <c r="AD10">
        <v>64.188000000000002</v>
      </c>
      <c r="AE10">
        <v>64.275999999999996</v>
      </c>
      <c r="AF10">
        <v>141.53200000000001</v>
      </c>
      <c r="AG10">
        <v>189.64</v>
      </c>
      <c r="AH10">
        <v>140.83000000000001</v>
      </c>
      <c r="AK10">
        <v>65.501000000000005</v>
      </c>
      <c r="AL10">
        <v>66.477000000000004</v>
      </c>
      <c r="AM10">
        <v>140.22399999999999</v>
      </c>
      <c r="AN10">
        <v>148.36099999999999</v>
      </c>
      <c r="AO10">
        <v>142.35400000000001</v>
      </c>
    </row>
    <row r="11" spans="1:41" hidden="1">
      <c r="A11">
        <v>9</v>
      </c>
      <c r="B11">
        <v>115.093</v>
      </c>
      <c r="C11" s="1">
        <v>115.828</v>
      </c>
      <c r="D11">
        <v>115.532</v>
      </c>
      <c r="E11">
        <v>116.217</v>
      </c>
      <c r="F11" s="1">
        <v>114.95</v>
      </c>
      <c r="G11" s="1"/>
      <c r="I11">
        <v>130.91999999999999</v>
      </c>
      <c r="J11">
        <v>118.73599999999999</v>
      </c>
      <c r="K11">
        <v>118.559</v>
      </c>
      <c r="L11">
        <v>121.18600000000001</v>
      </c>
      <c r="M11">
        <v>126.801</v>
      </c>
      <c r="P11">
        <v>115.65900000000001</v>
      </c>
      <c r="Q11" s="1">
        <v>150.97999999999999</v>
      </c>
      <c r="R11" s="1">
        <v>116.68</v>
      </c>
      <c r="S11" s="1">
        <v>116.217</v>
      </c>
      <c r="T11" s="1">
        <v>120.264</v>
      </c>
      <c r="U11" s="1"/>
      <c r="W11">
        <v>66.682000000000002</v>
      </c>
      <c r="X11">
        <v>64.933000000000007</v>
      </c>
      <c r="Y11">
        <v>142.131</v>
      </c>
      <c r="Z11">
        <v>152.98099999999999</v>
      </c>
      <c r="AA11">
        <v>146.77000000000001</v>
      </c>
      <c r="AD11">
        <v>63.985999999999997</v>
      </c>
      <c r="AE11">
        <v>64.563000000000002</v>
      </c>
      <c r="AF11">
        <v>139.43</v>
      </c>
      <c r="AG11">
        <v>187.01300000000001</v>
      </c>
      <c r="AH11">
        <v>140.255</v>
      </c>
      <c r="AK11">
        <v>65.66</v>
      </c>
      <c r="AL11">
        <v>66.552000000000007</v>
      </c>
      <c r="AM11">
        <v>140.684</v>
      </c>
      <c r="AN11">
        <v>148.625</v>
      </c>
      <c r="AO11">
        <v>142.34899999999999</v>
      </c>
    </row>
    <row r="12" spans="1:41" hidden="1">
      <c r="A12">
        <v>10</v>
      </c>
      <c r="B12">
        <v>132.61699999999999</v>
      </c>
      <c r="C12" s="1">
        <v>116.11200000000001</v>
      </c>
      <c r="D12" s="1">
        <v>116.398</v>
      </c>
      <c r="E12" s="1">
        <v>114.95</v>
      </c>
      <c r="F12" s="1">
        <v>114.86200000000001</v>
      </c>
      <c r="G12" s="1"/>
      <c r="I12">
        <v>120.05200000000001</v>
      </c>
      <c r="J12">
        <v>123.57899999999999</v>
      </c>
      <c r="K12">
        <v>132.08100000000002</v>
      </c>
      <c r="L12" s="1">
        <v>122.336</v>
      </c>
      <c r="M12" s="1">
        <v>118.66799999999999</v>
      </c>
      <c r="N12" s="1"/>
      <c r="P12">
        <v>137.61199999999999</v>
      </c>
      <c r="Q12" s="1">
        <v>121.021</v>
      </c>
      <c r="R12" s="1">
        <v>120.645</v>
      </c>
      <c r="S12" s="1">
        <v>120.584</v>
      </c>
      <c r="T12" s="1">
        <v>122.045</v>
      </c>
      <c r="U12" s="1"/>
      <c r="W12">
        <v>65.272999999999996</v>
      </c>
      <c r="X12">
        <v>64.712000000000003</v>
      </c>
      <c r="Y12">
        <v>139.37</v>
      </c>
      <c r="Z12">
        <v>145.61500000000001</v>
      </c>
      <c r="AA12">
        <v>145.19</v>
      </c>
      <c r="AD12">
        <v>64.453000000000003</v>
      </c>
      <c r="AE12">
        <v>64.33</v>
      </c>
      <c r="AF12">
        <v>167.40199999999999</v>
      </c>
      <c r="AG12">
        <v>187.988</v>
      </c>
      <c r="AH12">
        <v>139.98099999999999</v>
      </c>
      <c r="AK12">
        <v>65.784999999999997</v>
      </c>
      <c r="AL12">
        <v>66.849999999999994</v>
      </c>
      <c r="AM12">
        <v>140.21299999999999</v>
      </c>
      <c r="AN12">
        <v>148.11199999999999</v>
      </c>
      <c r="AO12">
        <v>142.13300000000001</v>
      </c>
    </row>
    <row r="13" spans="1:41" hidden="1">
      <c r="A13">
        <v>11</v>
      </c>
      <c r="B13">
        <v>114.864</v>
      </c>
      <c r="C13" s="1">
        <v>116.414</v>
      </c>
      <c r="D13" s="1">
        <v>115.53700000000001</v>
      </c>
      <c r="E13" s="1">
        <v>117.08799999999999</v>
      </c>
      <c r="F13" s="1">
        <v>115.084</v>
      </c>
      <c r="G13" s="1"/>
      <c r="I13">
        <v>122.715</v>
      </c>
      <c r="J13" s="1">
        <v>120.961</v>
      </c>
      <c r="K13" s="1">
        <v>118.988</v>
      </c>
      <c r="L13" s="1">
        <v>123.666</v>
      </c>
      <c r="M13" s="1">
        <v>121.54299999999999</v>
      </c>
      <c r="N13" s="1"/>
      <c r="P13">
        <v>117.413</v>
      </c>
      <c r="Q13" s="1">
        <v>118.211</v>
      </c>
      <c r="R13" s="1">
        <v>116.5</v>
      </c>
      <c r="S13">
        <v>117.30500000000001</v>
      </c>
      <c r="T13">
        <v>115.702</v>
      </c>
      <c r="W13">
        <v>65.668999999999997</v>
      </c>
      <c r="X13">
        <v>64.085999999999999</v>
      </c>
      <c r="Y13">
        <v>141.499</v>
      </c>
      <c r="Z13">
        <v>152.77600000000001</v>
      </c>
      <c r="AA13">
        <v>145.976</v>
      </c>
      <c r="AD13">
        <v>64.683999999999997</v>
      </c>
      <c r="AE13">
        <v>64.912999999999997</v>
      </c>
      <c r="AF13">
        <v>140.09299999999999</v>
      </c>
      <c r="AG13">
        <v>188.16800000000001</v>
      </c>
      <c r="AH13">
        <v>140.733</v>
      </c>
      <c r="AK13">
        <v>65.111999999999995</v>
      </c>
      <c r="AL13">
        <v>100.495</v>
      </c>
      <c r="AM13">
        <v>140.893</v>
      </c>
      <c r="AN13">
        <v>148.20599999999999</v>
      </c>
      <c r="AO13">
        <v>142.83199999999999</v>
      </c>
    </row>
    <row r="14" spans="1:41" hidden="1">
      <c r="A14">
        <v>12</v>
      </c>
      <c r="B14">
        <v>115.571</v>
      </c>
      <c r="C14" s="1">
        <v>117.12400000000001</v>
      </c>
      <c r="D14" s="1">
        <v>115.89</v>
      </c>
      <c r="E14" s="1">
        <v>114.687</v>
      </c>
      <c r="F14" s="1">
        <v>114.521</v>
      </c>
      <c r="G14" s="1"/>
      <c r="I14">
        <v>130.298</v>
      </c>
      <c r="J14">
        <v>121.60300000000001</v>
      </c>
      <c r="K14" s="1">
        <v>131.38499999999999</v>
      </c>
      <c r="L14">
        <v>126.383</v>
      </c>
      <c r="M14" s="1">
        <v>158.452</v>
      </c>
      <c r="N14" s="1"/>
      <c r="P14">
        <v>116.11499999999999</v>
      </c>
      <c r="Q14">
        <v>116.26400000000001</v>
      </c>
      <c r="R14">
        <v>117.286</v>
      </c>
      <c r="S14">
        <v>116.852</v>
      </c>
      <c r="T14" s="1">
        <v>115.422</v>
      </c>
      <c r="U14" s="1"/>
      <c r="W14">
        <v>87.4</v>
      </c>
      <c r="X14">
        <v>70.210999999999999</v>
      </c>
      <c r="Y14">
        <v>139.875</v>
      </c>
      <c r="Z14">
        <v>145.70500000000001</v>
      </c>
      <c r="AA14">
        <v>146.32400000000001</v>
      </c>
      <c r="AD14">
        <v>64.41</v>
      </c>
      <c r="AE14">
        <v>64.647999999999996</v>
      </c>
      <c r="AF14">
        <v>140.59100000000001</v>
      </c>
      <c r="AG14">
        <v>187.654</v>
      </c>
      <c r="AH14">
        <v>140.27500000000001</v>
      </c>
      <c r="AK14">
        <v>66.548000000000002</v>
      </c>
      <c r="AL14">
        <v>66.346999999999994</v>
      </c>
      <c r="AM14">
        <v>141.56200000000001</v>
      </c>
      <c r="AN14">
        <v>148.292</v>
      </c>
      <c r="AO14">
        <v>143.01</v>
      </c>
    </row>
    <row r="15" spans="1:41" hidden="1">
      <c r="A15">
        <v>13</v>
      </c>
      <c r="B15">
        <v>114.679</v>
      </c>
      <c r="C15" s="1">
        <v>114.405</v>
      </c>
      <c r="D15" s="1">
        <v>114.93100000000001</v>
      </c>
      <c r="E15" s="1">
        <v>115.502</v>
      </c>
      <c r="F15" s="1">
        <v>115.57900000000001</v>
      </c>
      <c r="G15" s="1"/>
      <c r="I15">
        <v>119.998</v>
      </c>
      <c r="J15" s="1">
        <v>120.95599999999999</v>
      </c>
      <c r="K15" s="1">
        <v>123.158</v>
      </c>
      <c r="L15" s="1">
        <v>126.73</v>
      </c>
      <c r="M15" s="1">
        <v>124.664</v>
      </c>
      <c r="N15" s="1"/>
      <c r="P15">
        <v>116.059</v>
      </c>
      <c r="Q15" s="1">
        <v>115.70700000000001</v>
      </c>
      <c r="R15" s="1">
        <v>147.40800000000002</v>
      </c>
      <c r="S15" s="1">
        <v>116.38500000000001</v>
      </c>
      <c r="T15" s="1">
        <v>118.76100000000001</v>
      </c>
      <c r="U15" s="1"/>
      <c r="W15">
        <v>64.710999999999999</v>
      </c>
      <c r="X15">
        <v>63.820999999999998</v>
      </c>
      <c r="Y15">
        <v>141.166</v>
      </c>
      <c r="Z15">
        <v>152.542</v>
      </c>
      <c r="AA15">
        <v>145.00399999999999</v>
      </c>
      <c r="AD15">
        <v>64.034999999999997</v>
      </c>
      <c r="AE15">
        <v>64.268000000000001</v>
      </c>
      <c r="AF15">
        <v>140.19499999999999</v>
      </c>
      <c r="AG15">
        <v>188.27500000000001</v>
      </c>
      <c r="AH15">
        <v>140.33699999999999</v>
      </c>
      <c r="AK15">
        <v>70.256</v>
      </c>
      <c r="AL15">
        <v>72.977999999999994</v>
      </c>
      <c r="AM15">
        <v>141.72499999999999</v>
      </c>
      <c r="AN15">
        <v>148.43600000000001</v>
      </c>
      <c r="AO15">
        <v>142.386</v>
      </c>
    </row>
    <row r="16" spans="1:41" hidden="1">
      <c r="A16">
        <v>14</v>
      </c>
      <c r="B16">
        <v>114.60599999999999</v>
      </c>
      <c r="C16">
        <v>132.69499999999999</v>
      </c>
      <c r="D16">
        <v>115.873</v>
      </c>
      <c r="E16" s="1">
        <v>116.28700000000001</v>
      </c>
      <c r="F16" s="1">
        <v>115.40899999999999</v>
      </c>
      <c r="G16" s="1"/>
      <c r="I16">
        <v>120.904</v>
      </c>
      <c r="J16" s="1">
        <v>124.78</v>
      </c>
      <c r="K16" s="1">
        <v>121.321</v>
      </c>
      <c r="L16" s="1">
        <v>120.735</v>
      </c>
      <c r="M16" s="1">
        <v>122.82</v>
      </c>
      <c r="N16" s="1"/>
      <c r="P16">
        <v>116.581</v>
      </c>
      <c r="Q16" s="1">
        <v>117.49900000000001</v>
      </c>
      <c r="R16" s="1">
        <v>115.893</v>
      </c>
      <c r="S16" s="1">
        <v>120.916</v>
      </c>
      <c r="T16" s="1">
        <v>124.182</v>
      </c>
      <c r="U16" s="1"/>
      <c r="W16">
        <v>65.59</v>
      </c>
      <c r="X16">
        <v>64.180999999999997</v>
      </c>
      <c r="Y16">
        <v>141.22200000000001</v>
      </c>
      <c r="Z16">
        <v>146.578</v>
      </c>
      <c r="AA16">
        <v>145.62299999999999</v>
      </c>
      <c r="AD16">
        <v>64.203999999999994</v>
      </c>
      <c r="AE16">
        <v>64.296000000000006</v>
      </c>
      <c r="AF16">
        <v>175.601</v>
      </c>
      <c r="AG16">
        <v>188.35300000000001</v>
      </c>
      <c r="AH16">
        <v>140.15700000000001</v>
      </c>
      <c r="AK16">
        <v>66.927999999999997</v>
      </c>
      <c r="AL16">
        <v>66.546999999999997</v>
      </c>
      <c r="AM16">
        <v>139.92599999999999</v>
      </c>
      <c r="AN16">
        <v>148.57300000000001</v>
      </c>
      <c r="AO16">
        <v>143.572</v>
      </c>
    </row>
    <row r="17" spans="1:41" hidden="1">
      <c r="A17">
        <v>15</v>
      </c>
      <c r="B17">
        <v>116.566</v>
      </c>
      <c r="C17" s="1">
        <v>114.637</v>
      </c>
      <c r="D17" s="1">
        <v>114.62700000000001</v>
      </c>
      <c r="E17" s="1">
        <v>115.203</v>
      </c>
      <c r="F17" s="1">
        <v>114.223</v>
      </c>
      <c r="G17" s="1"/>
      <c r="I17">
        <v>120.526</v>
      </c>
      <c r="J17" s="1">
        <v>124.16800000000001</v>
      </c>
      <c r="K17" s="1">
        <v>123.128</v>
      </c>
      <c r="L17" s="1">
        <v>119.95699999999999</v>
      </c>
      <c r="M17" s="1">
        <v>120.181</v>
      </c>
      <c r="N17" s="1"/>
      <c r="P17">
        <v>127.129</v>
      </c>
      <c r="Q17">
        <v>119.7</v>
      </c>
      <c r="R17">
        <v>119.14800000000001</v>
      </c>
      <c r="S17" s="1">
        <v>129.41499999999999</v>
      </c>
      <c r="T17" s="1">
        <v>116.47499999999999</v>
      </c>
      <c r="U17" s="1"/>
      <c r="W17">
        <v>64.185000000000002</v>
      </c>
      <c r="X17">
        <v>64.787000000000006</v>
      </c>
      <c r="Y17">
        <v>141.88399999999999</v>
      </c>
      <c r="Z17">
        <v>151.93</v>
      </c>
      <c r="AA17">
        <v>145.22800000000001</v>
      </c>
      <c r="AD17">
        <v>64.082999999999998</v>
      </c>
      <c r="AE17">
        <v>64.453999999999994</v>
      </c>
      <c r="AF17">
        <v>139.874</v>
      </c>
      <c r="AG17">
        <v>187.93</v>
      </c>
      <c r="AH17">
        <v>140.37799999999999</v>
      </c>
      <c r="AK17">
        <v>65.843000000000004</v>
      </c>
      <c r="AL17">
        <v>66.828000000000003</v>
      </c>
      <c r="AM17">
        <v>140.828</v>
      </c>
      <c r="AN17">
        <v>175.816</v>
      </c>
      <c r="AO17">
        <v>144.285</v>
      </c>
    </row>
    <row r="18" spans="1:41" hidden="1">
      <c r="A18">
        <v>16</v>
      </c>
      <c r="B18">
        <v>114.056</v>
      </c>
      <c r="C18" s="1">
        <v>116.575</v>
      </c>
      <c r="D18" s="1">
        <v>115.741</v>
      </c>
      <c r="E18" s="1">
        <v>115.98400000000001</v>
      </c>
      <c r="F18" s="1">
        <v>115.831</v>
      </c>
      <c r="G18" s="1"/>
      <c r="I18">
        <v>138.54300000000001</v>
      </c>
      <c r="J18" s="1">
        <v>118.95699999999999</v>
      </c>
      <c r="K18" s="1">
        <v>123.11800000000001</v>
      </c>
      <c r="L18" s="1">
        <v>136.02100000000002</v>
      </c>
      <c r="M18" s="1">
        <v>130.447</v>
      </c>
      <c r="N18" s="1"/>
      <c r="P18">
        <v>116.28</v>
      </c>
      <c r="Q18" s="1">
        <v>115.845</v>
      </c>
      <c r="R18" s="1">
        <v>116.256</v>
      </c>
      <c r="S18" s="1">
        <v>116.29900000000001</v>
      </c>
      <c r="T18" s="1">
        <v>115.77600000000001</v>
      </c>
      <c r="U18" s="1"/>
      <c r="W18">
        <v>65.206000000000003</v>
      </c>
      <c r="X18">
        <v>63.848999999999997</v>
      </c>
      <c r="Y18">
        <v>167.72499999999999</v>
      </c>
      <c r="Z18">
        <v>145.756</v>
      </c>
      <c r="AA18">
        <v>146.006</v>
      </c>
      <c r="AD18">
        <v>64.709999999999994</v>
      </c>
      <c r="AE18">
        <v>64.542000000000002</v>
      </c>
      <c r="AF18">
        <v>141.041</v>
      </c>
      <c r="AG18">
        <v>187.27799999999999</v>
      </c>
      <c r="AH18">
        <v>140.79</v>
      </c>
      <c r="AK18">
        <v>66.069000000000003</v>
      </c>
      <c r="AL18">
        <v>66.311000000000007</v>
      </c>
      <c r="AM18">
        <v>140.87299999999999</v>
      </c>
      <c r="AN18">
        <v>149.304</v>
      </c>
      <c r="AO18">
        <v>143.071</v>
      </c>
    </row>
    <row r="19" spans="1:41" hidden="1">
      <c r="A19">
        <v>17</v>
      </c>
      <c r="B19">
        <v>114.783</v>
      </c>
      <c r="C19" s="1">
        <v>120.69799999999999</v>
      </c>
      <c r="D19" s="1">
        <v>114.95099999999999</v>
      </c>
      <c r="E19">
        <v>117.245</v>
      </c>
      <c r="F19" s="1">
        <v>116.84899999999999</v>
      </c>
      <c r="G19" s="1"/>
      <c r="I19">
        <v>144.928</v>
      </c>
      <c r="J19" s="1">
        <v>127.361</v>
      </c>
      <c r="K19" s="1">
        <v>123.371</v>
      </c>
      <c r="L19">
        <v>150.459</v>
      </c>
      <c r="M19" s="1">
        <v>147.33599999999998</v>
      </c>
      <c r="N19" s="1"/>
      <c r="P19">
        <v>116.18899999999999</v>
      </c>
      <c r="Q19" s="1">
        <v>115.88900000000001</v>
      </c>
      <c r="R19" s="1">
        <v>116.773</v>
      </c>
      <c r="S19">
        <v>142.43800000000002</v>
      </c>
      <c r="T19" s="1">
        <v>115.214</v>
      </c>
      <c r="U19" s="1"/>
      <c r="W19">
        <v>64.941000000000003</v>
      </c>
      <c r="X19">
        <v>64.802000000000007</v>
      </c>
      <c r="Y19">
        <v>141.673</v>
      </c>
      <c r="Z19">
        <v>152.22300000000001</v>
      </c>
      <c r="AA19">
        <v>144.75800000000001</v>
      </c>
      <c r="AD19">
        <v>65.444000000000003</v>
      </c>
      <c r="AE19">
        <v>64.266000000000005</v>
      </c>
      <c r="AF19">
        <v>139.351</v>
      </c>
      <c r="AG19">
        <v>188.078</v>
      </c>
      <c r="AH19">
        <v>144.41800000000001</v>
      </c>
      <c r="AK19">
        <v>67.728999999999999</v>
      </c>
      <c r="AL19">
        <v>74.667000000000002</v>
      </c>
      <c r="AM19">
        <v>152.87700000000001</v>
      </c>
      <c r="AN19">
        <v>157.322</v>
      </c>
      <c r="AO19">
        <v>153.56299999999999</v>
      </c>
    </row>
    <row r="20" spans="1:41" hidden="1">
      <c r="A20">
        <v>18</v>
      </c>
      <c r="B20">
        <v>114.867</v>
      </c>
      <c r="C20" s="1">
        <v>115.509</v>
      </c>
      <c r="D20" s="1">
        <v>134.00899999999999</v>
      </c>
      <c r="E20" s="1">
        <v>123.65600000000001</v>
      </c>
      <c r="F20" s="1">
        <v>114.913</v>
      </c>
      <c r="G20" s="1"/>
      <c r="H20" s="1"/>
      <c r="I20">
        <v>142.346</v>
      </c>
      <c r="J20" s="1">
        <v>124.309</v>
      </c>
      <c r="K20" s="1">
        <v>138.54400000000001</v>
      </c>
      <c r="L20" s="1">
        <v>131.167</v>
      </c>
      <c r="M20" s="1">
        <v>126.59899999999999</v>
      </c>
      <c r="N20" s="1"/>
      <c r="P20">
        <v>115.96299999999999</v>
      </c>
      <c r="Q20" s="1">
        <v>116.392</v>
      </c>
      <c r="R20" s="1">
        <v>116.87100000000001</v>
      </c>
      <c r="S20" s="1">
        <v>115.98099999999999</v>
      </c>
      <c r="T20" s="1">
        <v>115.523</v>
      </c>
      <c r="U20" s="1"/>
      <c r="W20">
        <v>66.718999999999994</v>
      </c>
      <c r="X20">
        <v>63.774000000000001</v>
      </c>
      <c r="Y20">
        <v>139.67699999999999</v>
      </c>
      <c r="Z20">
        <v>145.73500000000001</v>
      </c>
      <c r="AA20">
        <v>145.637</v>
      </c>
      <c r="AD20">
        <v>68.322000000000003</v>
      </c>
      <c r="AE20">
        <v>65.671999999999997</v>
      </c>
      <c r="AF20">
        <v>141.465</v>
      </c>
      <c r="AG20">
        <v>209.035</v>
      </c>
      <c r="AH20">
        <v>140.863</v>
      </c>
      <c r="AK20">
        <v>69.938999999999993</v>
      </c>
      <c r="AL20">
        <v>70.849999999999994</v>
      </c>
      <c r="AM20">
        <v>150.32599999999999</v>
      </c>
      <c r="AN20">
        <v>150.59800000000001</v>
      </c>
      <c r="AO20">
        <v>147.768</v>
      </c>
    </row>
    <row r="21" spans="1:41" hidden="1">
      <c r="A21">
        <v>19</v>
      </c>
      <c r="B21">
        <v>114.642</v>
      </c>
      <c r="C21" s="1">
        <v>114.411</v>
      </c>
      <c r="D21" s="1">
        <v>114.297</v>
      </c>
      <c r="E21" s="1">
        <v>126.94</v>
      </c>
      <c r="F21" s="1">
        <v>115.23400000000001</v>
      </c>
      <c r="G21" s="1"/>
      <c r="H21" s="1"/>
      <c r="I21">
        <v>130.27199999999999</v>
      </c>
      <c r="J21">
        <v>137.84799999999998</v>
      </c>
      <c r="K21" s="1">
        <v>132.833</v>
      </c>
      <c r="L21" s="1">
        <v>135.34799999999998</v>
      </c>
      <c r="M21" s="1">
        <v>134.70099999999999</v>
      </c>
      <c r="N21" s="1"/>
      <c r="P21">
        <v>115.92400000000001</v>
      </c>
      <c r="Q21" s="1">
        <v>117.105</v>
      </c>
      <c r="R21" s="1">
        <v>116.82</v>
      </c>
      <c r="S21" s="1">
        <v>116.37</v>
      </c>
      <c r="T21" s="1">
        <v>114.913</v>
      </c>
      <c r="U21" s="1"/>
      <c r="W21">
        <v>64.14</v>
      </c>
      <c r="X21">
        <v>63.624000000000002</v>
      </c>
      <c r="Y21">
        <v>141.24600000000001</v>
      </c>
      <c r="Z21">
        <v>152.18199999999999</v>
      </c>
      <c r="AA21">
        <v>145.53700000000001</v>
      </c>
      <c r="AD21">
        <v>63.844999999999999</v>
      </c>
      <c r="AE21">
        <v>64.152000000000001</v>
      </c>
      <c r="AF21">
        <v>139.88800000000001</v>
      </c>
      <c r="AG21">
        <v>187.85499999999999</v>
      </c>
      <c r="AH21">
        <v>140.08799999999999</v>
      </c>
      <c r="AK21">
        <v>67.096999999999994</v>
      </c>
      <c r="AL21">
        <v>72.325999999999993</v>
      </c>
      <c r="AM21">
        <v>142.52099999999999</v>
      </c>
      <c r="AN21">
        <v>175.07499999999999</v>
      </c>
      <c r="AO21">
        <v>149.232</v>
      </c>
    </row>
    <row r="22" spans="1:41" hidden="1">
      <c r="A22">
        <v>20</v>
      </c>
      <c r="B22">
        <v>116.086</v>
      </c>
      <c r="C22" s="1">
        <v>115.544</v>
      </c>
      <c r="D22" s="1">
        <v>114.56</v>
      </c>
      <c r="E22" s="1">
        <v>115.69200000000001</v>
      </c>
      <c r="F22" s="1">
        <v>114.057</v>
      </c>
      <c r="G22" s="1"/>
      <c r="H22" s="1"/>
      <c r="I22">
        <v>127.82</v>
      </c>
      <c r="J22" s="1">
        <v>124.45</v>
      </c>
      <c r="K22" s="1">
        <v>118.312</v>
      </c>
      <c r="L22" s="1">
        <v>121.20599999999999</v>
      </c>
      <c r="M22" s="1">
        <v>118.61099999999999</v>
      </c>
      <c r="N22" s="1"/>
      <c r="P22">
        <v>116.55</v>
      </c>
      <c r="Q22" s="1">
        <v>115.15599999999999</v>
      </c>
      <c r="R22" s="1">
        <v>116.72</v>
      </c>
      <c r="S22" s="1">
        <v>116.29900000000001</v>
      </c>
      <c r="T22">
        <v>115.581</v>
      </c>
      <c r="W22">
        <v>66.337999999999994</v>
      </c>
      <c r="X22">
        <v>63.517000000000003</v>
      </c>
      <c r="Y22">
        <v>139.88</v>
      </c>
      <c r="Z22">
        <v>146.01900000000001</v>
      </c>
      <c r="AA22">
        <v>171.66499999999999</v>
      </c>
      <c r="AD22">
        <v>66.766000000000005</v>
      </c>
      <c r="AE22">
        <v>64.447999999999993</v>
      </c>
      <c r="AF22">
        <v>140.76499999999999</v>
      </c>
      <c r="AG22">
        <v>187.62200000000001</v>
      </c>
      <c r="AH22">
        <v>140.422</v>
      </c>
      <c r="AK22">
        <v>69.929000000000002</v>
      </c>
      <c r="AL22">
        <v>68.549000000000007</v>
      </c>
      <c r="AM22">
        <v>143.44999999999999</v>
      </c>
      <c r="AN22">
        <v>155.035</v>
      </c>
      <c r="AO22">
        <v>149.71199999999999</v>
      </c>
    </row>
    <row r="23" spans="1:41" hidden="1">
      <c r="A23">
        <v>21</v>
      </c>
      <c r="B23">
        <v>115.199</v>
      </c>
      <c r="C23" s="1">
        <v>114.039</v>
      </c>
      <c r="D23" s="1">
        <v>115.29899999999999</v>
      </c>
      <c r="E23" s="1">
        <v>115.24</v>
      </c>
      <c r="F23" s="1">
        <v>114.38199999999999</v>
      </c>
      <c r="G23" s="1"/>
      <c r="H23" s="1"/>
      <c r="I23">
        <v>117.83799999999999</v>
      </c>
      <c r="J23" s="1">
        <v>140.61199999999999</v>
      </c>
      <c r="K23" s="1">
        <v>131.18199999999999</v>
      </c>
      <c r="L23" s="1">
        <v>116.453</v>
      </c>
      <c r="M23" s="1">
        <v>115.509</v>
      </c>
      <c r="N23" s="1"/>
      <c r="P23">
        <v>116.283</v>
      </c>
      <c r="Q23" s="1">
        <v>115.69200000000001</v>
      </c>
      <c r="R23" s="1">
        <v>116.303</v>
      </c>
      <c r="S23" s="1">
        <v>119.90299999999999</v>
      </c>
      <c r="T23" s="1">
        <v>144.87800000000001</v>
      </c>
      <c r="U23" s="1"/>
      <c r="W23">
        <v>64.537999999999997</v>
      </c>
      <c r="X23">
        <v>63.765999999999998</v>
      </c>
      <c r="Y23">
        <v>142.77500000000001</v>
      </c>
      <c r="Z23">
        <v>152.61000000000001</v>
      </c>
      <c r="AA23">
        <v>145.041</v>
      </c>
      <c r="AD23">
        <v>63.695999999999998</v>
      </c>
      <c r="AE23">
        <v>63.957000000000001</v>
      </c>
      <c r="AF23">
        <v>139.50299999999999</v>
      </c>
      <c r="AG23">
        <v>187.773</v>
      </c>
      <c r="AH23">
        <v>140.79499999999999</v>
      </c>
      <c r="AK23">
        <v>69.073999999999998</v>
      </c>
      <c r="AL23">
        <v>67.197999999999993</v>
      </c>
      <c r="AM23">
        <v>143.15199999999999</v>
      </c>
      <c r="AN23">
        <v>152.87799999999999</v>
      </c>
      <c r="AO23">
        <v>145.41499999999999</v>
      </c>
    </row>
    <row r="24" spans="1:41" hidden="1">
      <c r="A24">
        <v>22</v>
      </c>
      <c r="B24">
        <v>116.684</v>
      </c>
      <c r="C24" s="1">
        <v>115.733</v>
      </c>
      <c r="D24" s="1">
        <v>119.065</v>
      </c>
      <c r="E24" s="1">
        <v>114.63900000000001</v>
      </c>
      <c r="F24" s="1">
        <v>135.69</v>
      </c>
      <c r="G24" s="1"/>
      <c r="H24" s="1"/>
      <c r="I24">
        <v>115.684</v>
      </c>
      <c r="J24" s="1">
        <v>122.46600000000001</v>
      </c>
      <c r="K24" s="1">
        <v>116.69</v>
      </c>
      <c r="L24" s="1">
        <v>115.78</v>
      </c>
      <c r="M24" s="1">
        <v>115.063</v>
      </c>
      <c r="P24">
        <v>115.717</v>
      </c>
      <c r="Q24" s="1">
        <v>115.694</v>
      </c>
      <c r="R24" s="1">
        <v>116.355</v>
      </c>
      <c r="S24" s="1">
        <v>116.883</v>
      </c>
      <c r="T24" s="1">
        <v>116.035</v>
      </c>
      <c r="U24" s="1"/>
      <c r="W24">
        <v>64.105999999999995</v>
      </c>
      <c r="X24">
        <v>65.367000000000004</v>
      </c>
      <c r="Y24">
        <v>140.86500000000001</v>
      </c>
      <c r="Z24">
        <v>145.374</v>
      </c>
      <c r="AA24">
        <v>145.041</v>
      </c>
      <c r="AD24">
        <v>64.825999999999993</v>
      </c>
      <c r="AE24">
        <v>64.307000000000002</v>
      </c>
      <c r="AF24">
        <v>140.91399999999999</v>
      </c>
      <c r="AG24">
        <v>213.54300000000001</v>
      </c>
      <c r="AH24">
        <v>140.37799999999999</v>
      </c>
      <c r="AK24">
        <v>67.238</v>
      </c>
      <c r="AL24">
        <v>68.968000000000004</v>
      </c>
      <c r="AM24">
        <v>147.755</v>
      </c>
      <c r="AN24">
        <v>154.202</v>
      </c>
      <c r="AO24">
        <v>146.179</v>
      </c>
    </row>
    <row r="25" spans="1:41" hidden="1">
      <c r="A25">
        <v>23</v>
      </c>
      <c r="B25">
        <v>114.62</v>
      </c>
      <c r="C25" s="1">
        <v>133.32</v>
      </c>
      <c r="D25" s="1">
        <v>116.54100000000001</v>
      </c>
      <c r="E25" s="1">
        <v>158.21699999999998</v>
      </c>
      <c r="F25" s="1">
        <v>116.443</v>
      </c>
      <c r="G25" s="1"/>
      <c r="I25">
        <v>117.443</v>
      </c>
      <c r="J25" s="1">
        <v>116.218</v>
      </c>
      <c r="K25" s="1">
        <v>115.87</v>
      </c>
      <c r="L25" s="1">
        <v>115.62899999999999</v>
      </c>
      <c r="M25" s="1">
        <v>115.464</v>
      </c>
      <c r="N25" s="1"/>
      <c r="P25">
        <v>115.747</v>
      </c>
      <c r="Q25" s="1">
        <v>115.32199999999999</v>
      </c>
      <c r="R25" s="1">
        <v>116.46199999999999</v>
      </c>
      <c r="S25" s="1">
        <v>116.502</v>
      </c>
      <c r="T25" s="1">
        <v>115.10900000000001</v>
      </c>
      <c r="U25" s="1"/>
      <c r="W25">
        <v>64.483000000000004</v>
      </c>
      <c r="X25">
        <v>70.210999999999999</v>
      </c>
      <c r="Y25">
        <v>143.751</v>
      </c>
      <c r="Z25">
        <v>152.023</v>
      </c>
      <c r="AA25">
        <v>145.96199999999999</v>
      </c>
      <c r="AD25">
        <v>63.893999999999998</v>
      </c>
      <c r="AE25">
        <v>64.05</v>
      </c>
      <c r="AF25">
        <v>139.26499999999999</v>
      </c>
      <c r="AG25">
        <v>188.03</v>
      </c>
      <c r="AH25">
        <v>139.97999999999999</v>
      </c>
      <c r="AK25">
        <v>70.58</v>
      </c>
      <c r="AL25">
        <v>74.56</v>
      </c>
      <c r="AM25">
        <v>141.39500000000001</v>
      </c>
      <c r="AN25">
        <v>149.01499999999999</v>
      </c>
      <c r="AO25">
        <v>142.345</v>
      </c>
    </row>
    <row r="26" spans="1:41" hidden="1">
      <c r="A26">
        <v>24</v>
      </c>
      <c r="B26">
        <v>116.354</v>
      </c>
      <c r="C26" s="1">
        <v>115.074</v>
      </c>
      <c r="D26" s="1">
        <v>116.378</v>
      </c>
      <c r="E26" s="1">
        <v>115.53399999999999</v>
      </c>
      <c r="F26" s="1">
        <v>115.715</v>
      </c>
      <c r="G26" s="1"/>
      <c r="I26">
        <v>115.11799999999999</v>
      </c>
      <c r="J26" s="1">
        <v>115.361</v>
      </c>
      <c r="K26" s="1">
        <v>116.98899999999999</v>
      </c>
      <c r="L26" s="1">
        <v>116.172</v>
      </c>
      <c r="M26" s="1">
        <v>116.601</v>
      </c>
      <c r="N26" s="1"/>
      <c r="P26">
        <v>116.09699999999999</v>
      </c>
      <c r="Q26" s="1">
        <v>116.19500000000001</v>
      </c>
      <c r="R26" s="1">
        <v>117.95899999999999</v>
      </c>
      <c r="S26" s="1">
        <v>116.252</v>
      </c>
      <c r="T26" s="1">
        <v>115.027</v>
      </c>
      <c r="U26" s="1"/>
      <c r="W26">
        <v>64.742999999999995</v>
      </c>
      <c r="X26">
        <v>64.489000000000004</v>
      </c>
      <c r="Y26">
        <v>139.517</v>
      </c>
      <c r="Z26">
        <v>145.583</v>
      </c>
      <c r="AA26">
        <v>145.48099999999999</v>
      </c>
      <c r="AD26">
        <v>64.298000000000002</v>
      </c>
      <c r="AE26">
        <v>64.760999999999996</v>
      </c>
      <c r="AF26">
        <v>140.97999999999999</v>
      </c>
      <c r="AG26">
        <v>187.33</v>
      </c>
      <c r="AH26">
        <v>139.65</v>
      </c>
      <c r="AK26">
        <v>67.495999999999995</v>
      </c>
      <c r="AL26">
        <v>102.129</v>
      </c>
      <c r="AM26">
        <v>151.75800000000001</v>
      </c>
      <c r="AN26">
        <v>157.392</v>
      </c>
      <c r="AO26">
        <v>146.22800000000001</v>
      </c>
    </row>
    <row r="27" spans="1:41" hidden="1">
      <c r="A27">
        <v>25</v>
      </c>
      <c r="B27">
        <v>115.461</v>
      </c>
      <c r="C27" s="1">
        <v>114.191</v>
      </c>
      <c r="D27" s="1">
        <v>114.622</v>
      </c>
      <c r="E27" s="1">
        <v>115.56099999999999</v>
      </c>
      <c r="F27" s="1">
        <v>115.422</v>
      </c>
      <c r="H27" s="1"/>
      <c r="I27">
        <v>115.66200000000001</v>
      </c>
      <c r="J27" s="1">
        <v>144.46</v>
      </c>
      <c r="K27" s="1">
        <v>115.96599999999999</v>
      </c>
      <c r="L27" s="1">
        <v>119.396</v>
      </c>
      <c r="M27" s="1">
        <v>115.476</v>
      </c>
      <c r="N27" s="1"/>
      <c r="P27">
        <v>116.57299999999999</v>
      </c>
      <c r="Q27" s="1">
        <v>120.18900000000001</v>
      </c>
      <c r="R27" s="1">
        <v>121.086</v>
      </c>
      <c r="S27" s="1">
        <v>118.36499999999999</v>
      </c>
      <c r="T27" s="1">
        <v>114.857</v>
      </c>
      <c r="U27" s="1"/>
      <c r="W27">
        <v>64.438000000000002</v>
      </c>
      <c r="X27">
        <v>90.796000000000006</v>
      </c>
      <c r="Y27">
        <v>141.70400000000001</v>
      </c>
      <c r="Z27">
        <v>152.233</v>
      </c>
      <c r="AA27">
        <v>145.64599999999999</v>
      </c>
      <c r="AD27">
        <v>63.893000000000001</v>
      </c>
      <c r="AE27">
        <v>64.022999999999996</v>
      </c>
      <c r="AF27">
        <v>139.20699999999999</v>
      </c>
      <c r="AG27">
        <v>187.666</v>
      </c>
      <c r="AH27">
        <v>141.90799999999999</v>
      </c>
      <c r="AK27">
        <v>68.238</v>
      </c>
      <c r="AL27">
        <v>67.897999999999996</v>
      </c>
      <c r="AM27">
        <v>144.19</v>
      </c>
      <c r="AN27">
        <v>152.578</v>
      </c>
      <c r="AO27">
        <v>146.845</v>
      </c>
    </row>
    <row r="28" spans="1:41" hidden="1">
      <c r="A28">
        <v>26</v>
      </c>
      <c r="B28">
        <v>114.881</v>
      </c>
      <c r="C28" s="1">
        <v>114.944</v>
      </c>
      <c r="D28" s="1">
        <v>114.626</v>
      </c>
      <c r="E28" s="1">
        <v>126.56200000000001</v>
      </c>
      <c r="F28" s="1">
        <v>135.571</v>
      </c>
      <c r="G28" s="1"/>
      <c r="H28" s="1"/>
      <c r="I28">
        <v>115.214</v>
      </c>
      <c r="J28" s="1">
        <v>116.02</v>
      </c>
      <c r="K28" s="1">
        <v>116.63800000000001</v>
      </c>
      <c r="L28" s="1">
        <v>130.93600000000001</v>
      </c>
      <c r="M28" s="1">
        <v>132.17200000000003</v>
      </c>
      <c r="N28" s="1"/>
      <c r="P28">
        <v>149.911</v>
      </c>
      <c r="Q28" s="1">
        <v>115.985</v>
      </c>
      <c r="R28" s="1">
        <v>115.765</v>
      </c>
      <c r="S28" s="1">
        <v>115.883</v>
      </c>
      <c r="T28" s="1">
        <v>114.997</v>
      </c>
      <c r="U28" s="1"/>
      <c r="W28">
        <v>66.954999999999998</v>
      </c>
      <c r="X28">
        <v>63.866</v>
      </c>
      <c r="Y28">
        <v>139.54</v>
      </c>
      <c r="Z28">
        <v>146.06399999999999</v>
      </c>
      <c r="AA28">
        <v>145.523</v>
      </c>
      <c r="AD28">
        <v>64.459000000000003</v>
      </c>
      <c r="AE28">
        <v>64.414000000000001</v>
      </c>
      <c r="AF28">
        <v>140.982</v>
      </c>
      <c r="AG28">
        <v>214.191</v>
      </c>
      <c r="AH28">
        <v>140.83000000000001</v>
      </c>
      <c r="AK28">
        <v>66.298000000000002</v>
      </c>
      <c r="AL28">
        <v>66.417000000000002</v>
      </c>
      <c r="AM28">
        <v>140.30500000000001</v>
      </c>
      <c r="AN28">
        <v>148.55199999999999</v>
      </c>
      <c r="AO28">
        <v>142.23699999999999</v>
      </c>
    </row>
    <row r="29" spans="1:41" hidden="1">
      <c r="A29">
        <v>27</v>
      </c>
      <c r="B29">
        <v>114.61199999999999</v>
      </c>
      <c r="C29" s="1">
        <v>115.00399999999999</v>
      </c>
      <c r="D29" s="1">
        <v>120.98399999999999</v>
      </c>
      <c r="E29" s="1">
        <v>115.70099999999999</v>
      </c>
      <c r="F29" s="1">
        <v>115.173</v>
      </c>
      <c r="G29" s="1"/>
      <c r="H29" s="1"/>
      <c r="I29">
        <v>119.66500000000001</v>
      </c>
      <c r="J29" s="1">
        <v>117.37400000000001</v>
      </c>
      <c r="K29" s="1">
        <v>116.149</v>
      </c>
      <c r="L29" s="1">
        <v>115.65599999999999</v>
      </c>
      <c r="M29" s="1">
        <v>115.788</v>
      </c>
      <c r="P29">
        <v>116.301</v>
      </c>
      <c r="Q29" s="1">
        <v>115.104</v>
      </c>
      <c r="R29" s="1">
        <v>116.279</v>
      </c>
      <c r="S29" s="1">
        <v>120.095</v>
      </c>
      <c r="T29" s="1">
        <v>115.729</v>
      </c>
      <c r="U29" s="1"/>
      <c r="W29">
        <v>65.001999999999995</v>
      </c>
      <c r="X29">
        <v>63.987000000000002</v>
      </c>
      <c r="Y29">
        <v>143.392</v>
      </c>
      <c r="Z29">
        <v>152.43199999999999</v>
      </c>
      <c r="AA29">
        <v>144.83000000000001</v>
      </c>
      <c r="AD29">
        <v>64.230999999999995</v>
      </c>
      <c r="AE29">
        <v>64.251999999999995</v>
      </c>
      <c r="AF29">
        <v>139.416</v>
      </c>
      <c r="AG29">
        <v>190.08699999999999</v>
      </c>
      <c r="AH29">
        <v>141.518</v>
      </c>
      <c r="AK29">
        <v>65.093000000000004</v>
      </c>
      <c r="AL29">
        <v>66.135000000000005</v>
      </c>
      <c r="AM29">
        <v>139.767</v>
      </c>
      <c r="AN29">
        <v>148.38499999999999</v>
      </c>
      <c r="AO29">
        <v>141.85599999999999</v>
      </c>
    </row>
    <row r="30" spans="1:41" hidden="1">
      <c r="A30">
        <v>28</v>
      </c>
      <c r="B30">
        <v>114.619</v>
      </c>
      <c r="C30" s="1">
        <v>115.798</v>
      </c>
      <c r="D30" s="1">
        <v>115.251</v>
      </c>
      <c r="E30" s="1">
        <v>115.05200000000001</v>
      </c>
      <c r="F30" s="1">
        <v>114.883</v>
      </c>
      <c r="G30" s="1"/>
      <c r="H30" s="1"/>
      <c r="I30">
        <v>116.685</v>
      </c>
      <c r="J30" s="1">
        <v>116.206</v>
      </c>
      <c r="K30" s="1">
        <v>115.977</v>
      </c>
      <c r="L30" s="1">
        <v>115.584</v>
      </c>
      <c r="M30" s="1">
        <v>115.001</v>
      </c>
      <c r="N30" s="1"/>
      <c r="P30">
        <v>116.08799999999999</v>
      </c>
      <c r="Q30" s="1">
        <v>115.42700000000001</v>
      </c>
      <c r="R30" s="1">
        <v>116.733</v>
      </c>
      <c r="S30" s="1">
        <v>116.863</v>
      </c>
      <c r="T30" s="1">
        <v>115.80500000000001</v>
      </c>
      <c r="U30" s="1"/>
      <c r="W30">
        <v>64.881</v>
      </c>
      <c r="X30">
        <v>64.599000000000004</v>
      </c>
      <c r="Y30">
        <v>141.04900000000001</v>
      </c>
      <c r="Z30">
        <v>146.13300000000001</v>
      </c>
      <c r="AA30">
        <v>145.18700000000001</v>
      </c>
      <c r="AD30">
        <v>64.510000000000005</v>
      </c>
      <c r="AE30">
        <v>66.86</v>
      </c>
      <c r="AF30">
        <v>141.602</v>
      </c>
      <c r="AG30">
        <v>197.44800000000001</v>
      </c>
      <c r="AH30">
        <v>140.40299999999999</v>
      </c>
      <c r="AK30">
        <v>65.608999999999995</v>
      </c>
      <c r="AL30">
        <v>66.262</v>
      </c>
      <c r="AM30">
        <v>140.90600000000001</v>
      </c>
      <c r="AN30">
        <v>163.62</v>
      </c>
      <c r="AO30">
        <v>141.86000000000001</v>
      </c>
    </row>
    <row r="31" spans="1:41" hidden="1">
      <c r="A31">
        <v>29</v>
      </c>
      <c r="B31">
        <v>115.95099999999999</v>
      </c>
      <c r="C31" s="1">
        <v>118.84</v>
      </c>
      <c r="D31" s="1">
        <v>115.563</v>
      </c>
      <c r="E31" s="1">
        <v>115.134</v>
      </c>
      <c r="F31" s="1">
        <v>114.131</v>
      </c>
      <c r="G31" s="1"/>
      <c r="H31" s="1"/>
      <c r="I31">
        <v>120.663</v>
      </c>
      <c r="J31" s="1">
        <v>115.515</v>
      </c>
      <c r="K31" s="1">
        <v>135.452</v>
      </c>
      <c r="L31" s="1">
        <v>116.492</v>
      </c>
      <c r="M31" s="1">
        <v>116.631</v>
      </c>
      <c r="N31" s="1"/>
      <c r="P31">
        <v>116.566</v>
      </c>
      <c r="Q31" s="1">
        <v>115.36799999999999</v>
      </c>
      <c r="R31" s="1">
        <v>116.452</v>
      </c>
      <c r="S31" s="1">
        <v>116.15599999999999</v>
      </c>
      <c r="T31" s="1">
        <v>115.232</v>
      </c>
      <c r="U31" s="1"/>
      <c r="W31">
        <v>65.582999999999998</v>
      </c>
      <c r="X31">
        <v>64.489999999999995</v>
      </c>
      <c r="Y31">
        <v>170.839</v>
      </c>
      <c r="Z31">
        <v>152.25299999999999</v>
      </c>
      <c r="AA31">
        <v>145.21199999999999</v>
      </c>
      <c r="AD31">
        <v>69.265000000000001</v>
      </c>
      <c r="AE31">
        <v>64.97</v>
      </c>
      <c r="AF31">
        <v>143.28100000000001</v>
      </c>
      <c r="AG31">
        <v>191.25</v>
      </c>
      <c r="AH31">
        <v>141.285</v>
      </c>
      <c r="AK31">
        <v>113.285</v>
      </c>
      <c r="AL31">
        <v>66.989000000000004</v>
      </c>
      <c r="AM31">
        <v>140.56399999999999</v>
      </c>
      <c r="AN31">
        <v>147.82400000000001</v>
      </c>
      <c r="AO31">
        <v>141.54400000000001</v>
      </c>
    </row>
    <row r="32" spans="1:41" hidden="1">
      <c r="A32">
        <v>30</v>
      </c>
      <c r="B32">
        <v>117.84699999999999</v>
      </c>
      <c r="C32" s="1">
        <v>115.45400000000001</v>
      </c>
      <c r="D32" s="1">
        <v>115.93100000000001</v>
      </c>
      <c r="E32" s="1">
        <v>115.38500000000001</v>
      </c>
      <c r="F32" s="1">
        <v>115.913</v>
      </c>
      <c r="G32" s="1"/>
      <c r="H32" s="1"/>
      <c r="I32">
        <v>115.536</v>
      </c>
      <c r="J32" s="1">
        <v>115.68599999999999</v>
      </c>
      <c r="K32" s="1">
        <v>115.571</v>
      </c>
      <c r="L32" s="1">
        <v>116.51899999999999</v>
      </c>
      <c r="M32" s="1">
        <v>115.006</v>
      </c>
      <c r="N32" s="1"/>
      <c r="P32">
        <v>115.557</v>
      </c>
      <c r="Q32" s="1">
        <v>141.899</v>
      </c>
      <c r="R32" s="1">
        <v>117.10600000000001</v>
      </c>
      <c r="S32" s="1">
        <v>116.56099999999999</v>
      </c>
      <c r="T32" s="1">
        <v>115.13</v>
      </c>
      <c r="U32" s="1"/>
      <c r="W32">
        <v>64.16</v>
      </c>
      <c r="X32">
        <v>64.924000000000007</v>
      </c>
      <c r="Y32">
        <v>139.87100000000001</v>
      </c>
      <c r="Z32">
        <v>145.61699999999999</v>
      </c>
      <c r="AA32">
        <v>145.465</v>
      </c>
      <c r="AD32">
        <v>66.59</v>
      </c>
      <c r="AE32">
        <v>65.366</v>
      </c>
      <c r="AF32">
        <v>141.03899999999999</v>
      </c>
      <c r="AG32">
        <v>187.87700000000001</v>
      </c>
      <c r="AH32">
        <v>164.38499999999999</v>
      </c>
      <c r="AK32">
        <v>66.055999999999997</v>
      </c>
      <c r="AL32">
        <v>66.066000000000003</v>
      </c>
      <c r="AM32">
        <v>140.505</v>
      </c>
      <c r="AN32">
        <v>147.95699999999999</v>
      </c>
      <c r="AO32">
        <v>146.93700000000001</v>
      </c>
    </row>
    <row r="33" spans="1:41" hidden="1">
      <c r="A33">
        <v>31</v>
      </c>
      <c r="B33">
        <v>147.36199999999999</v>
      </c>
      <c r="C33" s="1">
        <v>118.25700000000001</v>
      </c>
      <c r="D33" s="1">
        <v>114.009</v>
      </c>
      <c r="E33" s="1">
        <v>115.30799999999999</v>
      </c>
      <c r="F33" s="1">
        <v>114.69699999999999</v>
      </c>
      <c r="G33" s="1"/>
      <c r="H33" s="1"/>
      <c r="I33">
        <v>115.389</v>
      </c>
      <c r="J33" s="1">
        <v>115.663</v>
      </c>
      <c r="K33" s="1">
        <v>116.273</v>
      </c>
      <c r="L33" s="1">
        <v>117.23699999999999</v>
      </c>
      <c r="M33" s="1">
        <v>115.11399999999999</v>
      </c>
      <c r="P33">
        <v>116.16200000000001</v>
      </c>
      <c r="Q33" s="1">
        <v>115.61499999999999</v>
      </c>
      <c r="R33" s="1">
        <v>115.98</v>
      </c>
      <c r="S33" s="1">
        <v>115.645</v>
      </c>
      <c r="T33" s="1">
        <v>115.01599999999999</v>
      </c>
      <c r="U33" s="1"/>
      <c r="W33">
        <v>65.813000000000002</v>
      </c>
      <c r="X33">
        <v>64.215000000000003</v>
      </c>
      <c r="Y33">
        <v>141.495</v>
      </c>
      <c r="Z33">
        <v>151.91300000000001</v>
      </c>
      <c r="AA33">
        <v>147.65799999999999</v>
      </c>
      <c r="AD33">
        <v>64.394999999999996</v>
      </c>
      <c r="AE33">
        <v>64.503</v>
      </c>
      <c r="AF33">
        <v>139.238</v>
      </c>
      <c r="AG33">
        <v>190.2</v>
      </c>
      <c r="AH33">
        <v>141.03800000000001</v>
      </c>
      <c r="AK33">
        <v>65.483000000000004</v>
      </c>
      <c r="AL33">
        <v>66.799000000000007</v>
      </c>
      <c r="AM33">
        <v>140.34100000000001</v>
      </c>
      <c r="AN33">
        <v>147.89400000000001</v>
      </c>
      <c r="AO33">
        <v>142.29499999999999</v>
      </c>
    </row>
    <row r="34" spans="1:41" hidden="1">
      <c r="A34">
        <v>32</v>
      </c>
      <c r="B34">
        <v>114.857</v>
      </c>
      <c r="C34" s="1">
        <v>114.16999999999999</v>
      </c>
      <c r="D34" s="1">
        <v>115.934</v>
      </c>
      <c r="E34" s="1">
        <v>115.464</v>
      </c>
      <c r="F34" s="1">
        <v>114.64700000000001</v>
      </c>
      <c r="G34" s="1"/>
      <c r="H34" s="1"/>
      <c r="I34">
        <v>116.82299999999999</v>
      </c>
      <c r="J34" s="1">
        <v>116.15</v>
      </c>
      <c r="K34" s="1">
        <v>116.78399999999999</v>
      </c>
      <c r="L34" s="1">
        <v>120.98299999999999</v>
      </c>
      <c r="M34" s="1">
        <v>116.77500000000001</v>
      </c>
      <c r="N34" s="1"/>
      <c r="P34">
        <v>115.983</v>
      </c>
      <c r="Q34" s="1">
        <v>115.089</v>
      </c>
      <c r="R34" s="1">
        <v>116.14099999999999</v>
      </c>
      <c r="S34" s="1">
        <v>115.943</v>
      </c>
      <c r="T34" s="1">
        <v>115.44699999999999</v>
      </c>
      <c r="U34" s="1"/>
      <c r="W34">
        <v>68.319000000000003</v>
      </c>
      <c r="X34">
        <v>64.462000000000003</v>
      </c>
      <c r="Y34">
        <v>139.65700000000001</v>
      </c>
      <c r="Z34">
        <v>145.828</v>
      </c>
      <c r="AA34">
        <v>145.56700000000001</v>
      </c>
      <c r="AD34">
        <v>64.602000000000004</v>
      </c>
      <c r="AE34">
        <v>64.143000000000001</v>
      </c>
      <c r="AF34">
        <v>140.68100000000001</v>
      </c>
      <c r="AG34">
        <v>189.03299999999999</v>
      </c>
      <c r="AH34">
        <v>140.15299999999999</v>
      </c>
      <c r="AK34">
        <v>67.695999999999998</v>
      </c>
      <c r="AL34">
        <v>66.914000000000001</v>
      </c>
      <c r="AM34">
        <v>140.114</v>
      </c>
      <c r="AN34">
        <v>148.251</v>
      </c>
      <c r="AO34">
        <v>164.17699999999999</v>
      </c>
    </row>
    <row r="35" spans="1:41" hidden="1">
      <c r="A35">
        <v>33</v>
      </c>
      <c r="B35">
        <v>120.968</v>
      </c>
      <c r="C35" s="1">
        <v>114.157</v>
      </c>
      <c r="D35" s="1">
        <v>116.566</v>
      </c>
      <c r="E35" s="1">
        <v>114.75399999999999</v>
      </c>
      <c r="F35" s="1">
        <v>114.854</v>
      </c>
      <c r="G35" s="1"/>
      <c r="H35" s="1"/>
      <c r="I35">
        <v>132.74700000000001</v>
      </c>
      <c r="J35" s="1">
        <v>122.086</v>
      </c>
      <c r="K35" s="1">
        <v>119.566</v>
      </c>
      <c r="L35" s="1">
        <v>116.15899999999999</v>
      </c>
      <c r="M35" s="1">
        <v>142.364</v>
      </c>
      <c r="N35" s="1"/>
      <c r="P35">
        <v>116.44499999999999</v>
      </c>
      <c r="Q35" s="1">
        <v>115.759</v>
      </c>
      <c r="R35" s="1">
        <v>136.71700000000001</v>
      </c>
      <c r="S35" s="1">
        <v>119.96600000000001</v>
      </c>
      <c r="T35" s="1">
        <v>115.78099999999999</v>
      </c>
      <c r="U35" s="1"/>
      <c r="W35">
        <v>64.61</v>
      </c>
      <c r="X35">
        <v>63.74</v>
      </c>
      <c r="Y35">
        <v>141.66800000000001</v>
      </c>
      <c r="Z35">
        <v>153.15299999999999</v>
      </c>
      <c r="AA35">
        <v>171.40799999999999</v>
      </c>
      <c r="AD35">
        <v>63.735999999999997</v>
      </c>
      <c r="AE35">
        <v>63.951999999999998</v>
      </c>
      <c r="AF35">
        <v>138.87700000000001</v>
      </c>
      <c r="AG35">
        <v>186.92599999999999</v>
      </c>
      <c r="AH35">
        <v>139.572</v>
      </c>
      <c r="AK35">
        <v>65.364999999999995</v>
      </c>
      <c r="AL35">
        <v>66.320999999999998</v>
      </c>
      <c r="AM35">
        <v>140.58000000000001</v>
      </c>
      <c r="AN35">
        <v>148.20699999999999</v>
      </c>
      <c r="AO35">
        <v>142.45699999999999</v>
      </c>
    </row>
    <row r="36" spans="1:41" hidden="1">
      <c r="A36">
        <v>34</v>
      </c>
      <c r="B36">
        <v>114.515</v>
      </c>
      <c r="C36" s="1">
        <v>115.759</v>
      </c>
      <c r="D36" s="1">
        <v>114.79899999999999</v>
      </c>
      <c r="E36" s="1">
        <v>114.751</v>
      </c>
      <c r="F36" s="1">
        <v>115.339</v>
      </c>
      <c r="G36" s="1"/>
      <c r="H36" s="1"/>
      <c r="I36">
        <v>131.61500000000001</v>
      </c>
      <c r="J36" s="1">
        <v>115.628</v>
      </c>
      <c r="K36" s="1">
        <v>118.73</v>
      </c>
      <c r="L36" s="1">
        <v>124.614</v>
      </c>
      <c r="M36" s="1">
        <v>119.67400000000001</v>
      </c>
      <c r="N36" s="1"/>
      <c r="P36">
        <v>115.783</v>
      </c>
      <c r="Q36" s="1">
        <v>115.107</v>
      </c>
      <c r="R36" s="1">
        <v>142.035</v>
      </c>
      <c r="S36" s="1">
        <v>117.17099999999999</v>
      </c>
      <c r="T36" s="1">
        <v>115.377</v>
      </c>
      <c r="W36">
        <v>78.637</v>
      </c>
      <c r="X36">
        <v>68.260999999999996</v>
      </c>
      <c r="Y36">
        <v>142.321</v>
      </c>
      <c r="Z36">
        <v>145.85</v>
      </c>
      <c r="AA36">
        <v>145.244</v>
      </c>
      <c r="AD36">
        <v>63.945999999999998</v>
      </c>
      <c r="AE36">
        <v>63.975999999999999</v>
      </c>
      <c r="AF36">
        <v>140.63</v>
      </c>
      <c r="AG36">
        <v>195.46</v>
      </c>
      <c r="AH36">
        <v>160.88399999999999</v>
      </c>
      <c r="AK36">
        <v>65.724999999999994</v>
      </c>
      <c r="AL36">
        <v>66.278000000000006</v>
      </c>
      <c r="AM36">
        <v>140.26599999999999</v>
      </c>
      <c r="AN36">
        <v>148.536</v>
      </c>
      <c r="AO36">
        <v>142.096</v>
      </c>
    </row>
    <row r="37" spans="1:41" hidden="1">
      <c r="A37">
        <v>35</v>
      </c>
      <c r="B37">
        <v>118.108</v>
      </c>
      <c r="C37" s="1">
        <v>114.581</v>
      </c>
      <c r="D37" s="1">
        <v>133.06799999999998</v>
      </c>
      <c r="E37" s="1">
        <v>116.009</v>
      </c>
      <c r="F37" s="1">
        <v>114.72</v>
      </c>
      <c r="H37" s="1"/>
      <c r="I37">
        <v>116.372</v>
      </c>
      <c r="J37" s="1">
        <v>115.355</v>
      </c>
      <c r="K37" s="1">
        <v>115.684</v>
      </c>
      <c r="L37" s="1">
        <v>116.845</v>
      </c>
      <c r="M37" s="1">
        <v>115.122</v>
      </c>
      <c r="N37" s="1"/>
      <c r="P37">
        <v>115.562</v>
      </c>
      <c r="Q37" s="1">
        <v>115.343</v>
      </c>
      <c r="R37" s="1">
        <v>116.325</v>
      </c>
      <c r="S37" s="1">
        <v>116.18199999999999</v>
      </c>
      <c r="T37" s="1">
        <v>115.63</v>
      </c>
      <c r="U37" s="1"/>
      <c r="W37">
        <v>65.328999999999994</v>
      </c>
      <c r="X37">
        <v>63.768999999999998</v>
      </c>
      <c r="Y37">
        <v>142.327</v>
      </c>
      <c r="Z37">
        <v>152.01300000000001</v>
      </c>
      <c r="AA37">
        <v>145.376</v>
      </c>
      <c r="AD37">
        <v>65.308000000000007</v>
      </c>
      <c r="AE37">
        <v>64.691999999999993</v>
      </c>
      <c r="AF37">
        <v>139.13300000000001</v>
      </c>
      <c r="AG37">
        <v>187.203</v>
      </c>
      <c r="AH37">
        <v>139.83799999999999</v>
      </c>
      <c r="AK37">
        <v>65.143000000000001</v>
      </c>
      <c r="AL37">
        <v>66.465999999999994</v>
      </c>
      <c r="AM37">
        <v>142.857</v>
      </c>
      <c r="AN37">
        <v>148.495</v>
      </c>
      <c r="AO37">
        <v>141.85499999999999</v>
      </c>
    </row>
    <row r="38" spans="1:41" hidden="1">
      <c r="A38">
        <v>36</v>
      </c>
      <c r="B38">
        <v>116.36499999999999</v>
      </c>
      <c r="C38" s="1">
        <v>114.922</v>
      </c>
      <c r="D38" s="1">
        <v>114.577</v>
      </c>
      <c r="E38" s="1">
        <v>114.568</v>
      </c>
      <c r="F38" s="1">
        <v>115.331</v>
      </c>
      <c r="G38" s="1"/>
      <c r="H38" s="1"/>
      <c r="I38">
        <v>115.50700000000001</v>
      </c>
      <c r="J38" s="1">
        <v>114.968</v>
      </c>
      <c r="K38" s="1">
        <v>116.11799999999999</v>
      </c>
      <c r="L38" s="1">
        <v>117.09400000000001</v>
      </c>
      <c r="M38" s="1">
        <v>115.19</v>
      </c>
      <c r="N38" s="1"/>
      <c r="P38">
        <v>115.97</v>
      </c>
      <c r="Q38" s="1">
        <v>117.203</v>
      </c>
      <c r="R38" s="1">
        <v>116.58499999999999</v>
      </c>
      <c r="S38" s="1">
        <v>116.161</v>
      </c>
      <c r="T38" s="1">
        <v>115.345</v>
      </c>
      <c r="U38" s="1"/>
      <c r="W38">
        <v>64.784999999999997</v>
      </c>
      <c r="X38">
        <v>64.165000000000006</v>
      </c>
      <c r="Y38">
        <v>139.86600000000001</v>
      </c>
      <c r="Z38">
        <v>144.958</v>
      </c>
      <c r="AA38">
        <v>145.589</v>
      </c>
      <c r="AD38">
        <v>64.391000000000005</v>
      </c>
      <c r="AE38">
        <v>64.028999999999996</v>
      </c>
      <c r="AF38">
        <v>140.15700000000001</v>
      </c>
      <c r="AG38">
        <v>186.77099999999999</v>
      </c>
      <c r="AH38">
        <v>139.95099999999999</v>
      </c>
      <c r="AK38">
        <v>65.695999999999998</v>
      </c>
      <c r="AL38">
        <v>67.027000000000001</v>
      </c>
      <c r="AM38">
        <v>140.672</v>
      </c>
      <c r="AN38">
        <v>148.08099999999999</v>
      </c>
      <c r="AO38">
        <v>142.01599999999999</v>
      </c>
    </row>
    <row r="39" spans="1:41" hidden="1">
      <c r="A39">
        <v>37</v>
      </c>
      <c r="B39">
        <v>114.285</v>
      </c>
      <c r="C39" s="1">
        <v>114.074</v>
      </c>
      <c r="D39" s="1">
        <v>115.995</v>
      </c>
      <c r="E39" s="1">
        <v>117.077</v>
      </c>
      <c r="F39" s="1">
        <v>114.593</v>
      </c>
      <c r="G39" s="1"/>
      <c r="H39" s="1"/>
      <c r="I39">
        <v>115.756</v>
      </c>
      <c r="J39" s="1">
        <v>115.21000000000001</v>
      </c>
      <c r="K39" s="1">
        <v>124.155</v>
      </c>
      <c r="L39" s="1">
        <v>115.795</v>
      </c>
      <c r="M39" s="1">
        <v>138.63400000000001</v>
      </c>
      <c r="P39">
        <v>116.221</v>
      </c>
      <c r="Q39" s="1">
        <v>115.911</v>
      </c>
      <c r="R39" s="1">
        <v>116.54900000000001</v>
      </c>
      <c r="S39" s="1">
        <v>116.51</v>
      </c>
      <c r="T39" s="1">
        <v>115.444</v>
      </c>
      <c r="U39" s="1"/>
      <c r="W39">
        <v>64.483999999999995</v>
      </c>
      <c r="X39">
        <v>64.869</v>
      </c>
      <c r="Y39">
        <v>141.92099999999999</v>
      </c>
      <c r="Z39">
        <v>152.32599999999999</v>
      </c>
      <c r="AA39">
        <v>146.16200000000001</v>
      </c>
      <c r="AD39">
        <v>63.793999999999997</v>
      </c>
      <c r="AE39">
        <v>64.039000000000001</v>
      </c>
      <c r="AF39">
        <v>139.84200000000001</v>
      </c>
      <c r="AG39">
        <v>187.64699999999999</v>
      </c>
      <c r="AH39">
        <v>140.19300000000001</v>
      </c>
      <c r="AK39">
        <v>90.402000000000001</v>
      </c>
      <c r="AL39">
        <v>66.638999999999996</v>
      </c>
      <c r="AM39">
        <v>140.61199999999999</v>
      </c>
      <c r="AN39">
        <v>147.87799999999999</v>
      </c>
      <c r="AO39">
        <v>141.95099999999999</v>
      </c>
    </row>
    <row r="40" spans="1:41" hidden="1">
      <c r="A40">
        <v>38</v>
      </c>
      <c r="B40">
        <v>114.33</v>
      </c>
      <c r="C40" s="1">
        <v>114.58500000000001</v>
      </c>
      <c r="D40" s="1">
        <v>114.68299999999999</v>
      </c>
      <c r="E40" s="1">
        <v>115.979</v>
      </c>
      <c r="F40" s="1">
        <v>115.11699999999999</v>
      </c>
      <c r="G40" s="1"/>
      <c r="H40" s="1"/>
      <c r="I40">
        <v>115.533</v>
      </c>
      <c r="J40" s="1">
        <v>116.73899999999999</v>
      </c>
      <c r="K40" s="1">
        <v>116.667</v>
      </c>
      <c r="L40" s="1">
        <v>116.02600000000001</v>
      </c>
      <c r="M40" s="1">
        <v>116.048</v>
      </c>
      <c r="N40" s="1"/>
      <c r="P40">
        <v>116.895</v>
      </c>
      <c r="Q40" s="1">
        <v>115.495</v>
      </c>
      <c r="R40" s="1">
        <v>116.178</v>
      </c>
      <c r="S40" s="1">
        <v>116.133</v>
      </c>
      <c r="T40" s="1">
        <v>136.214</v>
      </c>
      <c r="U40" s="1"/>
      <c r="W40">
        <v>92.605999999999995</v>
      </c>
      <c r="X40">
        <v>64.159000000000006</v>
      </c>
      <c r="Y40">
        <v>139.59100000000001</v>
      </c>
      <c r="Z40">
        <v>145.18100000000001</v>
      </c>
      <c r="AA40">
        <v>146.40199999999999</v>
      </c>
      <c r="AD40">
        <v>64.290999999999997</v>
      </c>
      <c r="AE40">
        <v>64.168000000000006</v>
      </c>
      <c r="AF40">
        <v>141.852</v>
      </c>
      <c r="AG40">
        <v>187.89</v>
      </c>
      <c r="AH40">
        <v>139.80500000000001</v>
      </c>
      <c r="AK40">
        <v>65.793000000000006</v>
      </c>
      <c r="AL40">
        <v>66.798000000000002</v>
      </c>
      <c r="AM40">
        <v>140.536</v>
      </c>
      <c r="AN40">
        <v>147.58600000000001</v>
      </c>
      <c r="AO40">
        <v>141.88900000000001</v>
      </c>
    </row>
    <row r="41" spans="1:41" hidden="1">
      <c r="A41">
        <v>39</v>
      </c>
      <c r="B41">
        <v>115.66200000000001</v>
      </c>
      <c r="C41" s="1">
        <v>114.075</v>
      </c>
      <c r="D41" s="1">
        <v>116.32900000000001</v>
      </c>
      <c r="E41" s="1">
        <v>144.029</v>
      </c>
      <c r="F41" s="1">
        <v>114.608</v>
      </c>
      <c r="G41" s="1"/>
      <c r="H41" s="1"/>
      <c r="I41">
        <v>116.791</v>
      </c>
      <c r="J41" s="1">
        <v>115.77800000000001</v>
      </c>
      <c r="K41" s="1">
        <v>115.48400000000001</v>
      </c>
      <c r="L41" s="1">
        <v>115.623</v>
      </c>
      <c r="M41" s="1">
        <v>115.27</v>
      </c>
      <c r="N41" s="1"/>
      <c r="P41">
        <v>115.73</v>
      </c>
      <c r="Q41" s="1">
        <v>115.87400000000001</v>
      </c>
      <c r="R41" s="1">
        <v>117.768</v>
      </c>
      <c r="S41" s="1">
        <v>117.104</v>
      </c>
      <c r="T41" s="1">
        <v>115.08699999999999</v>
      </c>
      <c r="U41" s="1"/>
      <c r="W41">
        <v>65.828000000000003</v>
      </c>
      <c r="X41">
        <v>64.061000000000007</v>
      </c>
      <c r="Y41">
        <v>141.404</v>
      </c>
      <c r="Z41">
        <v>154.22800000000001</v>
      </c>
      <c r="AA41">
        <v>145.51300000000001</v>
      </c>
      <c r="AD41">
        <v>84.114999999999995</v>
      </c>
      <c r="AE41">
        <v>64.971999999999994</v>
      </c>
      <c r="AF41">
        <v>139.74199999999999</v>
      </c>
      <c r="AG41">
        <v>187.815</v>
      </c>
      <c r="AH41">
        <v>140.511</v>
      </c>
      <c r="AK41">
        <v>65.644999999999996</v>
      </c>
      <c r="AL41">
        <v>66.686000000000007</v>
      </c>
      <c r="AM41">
        <v>139.934</v>
      </c>
      <c r="AN41">
        <v>147.93700000000001</v>
      </c>
      <c r="AO41">
        <v>142.333</v>
      </c>
    </row>
    <row r="42" spans="1:41" hidden="1">
      <c r="A42">
        <v>40</v>
      </c>
      <c r="B42">
        <v>114.453</v>
      </c>
      <c r="C42" s="1">
        <v>119.482</v>
      </c>
      <c r="D42" s="1">
        <v>114.95</v>
      </c>
      <c r="E42" s="1">
        <v>115.25</v>
      </c>
      <c r="F42" s="1">
        <v>114.598</v>
      </c>
      <c r="G42" s="1"/>
      <c r="H42" s="1"/>
      <c r="I42">
        <v>116.19499999999999</v>
      </c>
      <c r="J42" s="1">
        <v>115.32100000000001</v>
      </c>
      <c r="K42" s="1">
        <v>115.97799999999999</v>
      </c>
      <c r="L42" s="1">
        <v>115.84</v>
      </c>
      <c r="M42" s="1">
        <v>115.456</v>
      </c>
      <c r="N42" s="1"/>
      <c r="P42">
        <v>117.47499999999999</v>
      </c>
      <c r="Q42" s="1">
        <v>115.086</v>
      </c>
      <c r="R42" s="1">
        <v>116.44799999999999</v>
      </c>
      <c r="S42" s="1">
        <v>117.465</v>
      </c>
      <c r="T42" s="1">
        <v>115.676</v>
      </c>
      <c r="U42" s="1"/>
      <c r="W42">
        <v>64.117000000000004</v>
      </c>
      <c r="X42">
        <v>63.802</v>
      </c>
      <c r="Y42">
        <v>139.15600000000001</v>
      </c>
      <c r="Z42">
        <v>146.608</v>
      </c>
      <c r="AA42">
        <v>145.26400000000001</v>
      </c>
      <c r="AD42">
        <v>64.703999999999994</v>
      </c>
      <c r="AE42">
        <v>64.784000000000006</v>
      </c>
      <c r="AF42">
        <v>140.57300000000001</v>
      </c>
      <c r="AG42">
        <v>187.923</v>
      </c>
      <c r="AH42">
        <v>140.10499999999999</v>
      </c>
      <c r="AK42">
        <v>65.951999999999998</v>
      </c>
      <c r="AL42">
        <v>66.150999999999996</v>
      </c>
      <c r="AM42">
        <v>140.62299999999999</v>
      </c>
      <c r="AN42">
        <v>147.9</v>
      </c>
      <c r="AO42">
        <v>142.376</v>
      </c>
    </row>
    <row r="43" spans="1:41" hidden="1">
      <c r="A43">
        <v>41</v>
      </c>
      <c r="B43">
        <v>116.375</v>
      </c>
      <c r="C43" s="1">
        <v>114.81399999999999</v>
      </c>
      <c r="D43" s="1">
        <v>115.42099999999999</v>
      </c>
      <c r="E43" s="1">
        <v>114.93899999999999</v>
      </c>
      <c r="F43" s="1">
        <v>114.96900000000001</v>
      </c>
      <c r="G43" s="1"/>
      <c r="I43">
        <v>115.255</v>
      </c>
      <c r="J43" s="1">
        <v>115.02900000000001</v>
      </c>
      <c r="K43" s="1">
        <v>117.02500000000001</v>
      </c>
      <c r="L43" s="1">
        <v>115.89099999999999</v>
      </c>
      <c r="M43" s="1">
        <v>117.05699999999999</v>
      </c>
      <c r="P43">
        <v>115.536</v>
      </c>
      <c r="Q43" s="1">
        <v>115.745</v>
      </c>
      <c r="R43" s="1">
        <v>116.84099999999999</v>
      </c>
      <c r="S43" s="1">
        <v>116.19200000000001</v>
      </c>
      <c r="T43" s="1">
        <v>114.893</v>
      </c>
      <c r="W43">
        <v>64.471999999999994</v>
      </c>
      <c r="X43">
        <v>63.750999999999998</v>
      </c>
      <c r="Y43">
        <v>141.59</v>
      </c>
      <c r="Z43">
        <v>152.339</v>
      </c>
      <c r="AA43">
        <v>145.23699999999999</v>
      </c>
      <c r="AD43">
        <v>64.53</v>
      </c>
      <c r="AE43">
        <v>64.094999999999999</v>
      </c>
      <c r="AF43">
        <v>139.297</v>
      </c>
      <c r="AG43">
        <v>188.14</v>
      </c>
      <c r="AH43">
        <v>140.714</v>
      </c>
      <c r="AK43">
        <v>64.942999999999998</v>
      </c>
      <c r="AL43">
        <v>66.513000000000005</v>
      </c>
      <c r="AM43">
        <v>174.239</v>
      </c>
      <c r="AN43">
        <v>148.251</v>
      </c>
      <c r="AO43">
        <v>142.83000000000001</v>
      </c>
    </row>
    <row r="44" spans="1:41" hidden="1">
      <c r="A44">
        <v>42</v>
      </c>
      <c r="B44">
        <v>115.105</v>
      </c>
      <c r="C44" s="1">
        <v>113.983</v>
      </c>
      <c r="D44" s="1">
        <v>114.818</v>
      </c>
      <c r="E44" s="1">
        <v>114.88800000000001</v>
      </c>
      <c r="F44" s="1">
        <v>116.715</v>
      </c>
      <c r="G44" s="1"/>
      <c r="H44" s="1"/>
      <c r="I44">
        <v>115.509</v>
      </c>
      <c r="J44" s="1">
        <v>133.38900000000001</v>
      </c>
      <c r="K44" s="1">
        <v>116.051</v>
      </c>
      <c r="L44" s="1">
        <v>115.64399999999999</v>
      </c>
      <c r="M44" s="1">
        <v>117.79199999999999</v>
      </c>
      <c r="N44" s="1"/>
      <c r="P44">
        <v>116.23099999999999</v>
      </c>
      <c r="Q44" s="1">
        <v>115.235</v>
      </c>
      <c r="R44" s="1">
        <v>115.91799999999999</v>
      </c>
      <c r="S44" s="1">
        <v>115.877</v>
      </c>
      <c r="T44" s="1">
        <v>114.724</v>
      </c>
      <c r="U44" s="1"/>
      <c r="W44">
        <v>65.668999999999997</v>
      </c>
      <c r="X44">
        <v>63.953000000000003</v>
      </c>
      <c r="Y44">
        <v>159.31200000000001</v>
      </c>
      <c r="Z44">
        <v>146.91</v>
      </c>
      <c r="AA44">
        <v>145.21600000000001</v>
      </c>
      <c r="AD44">
        <v>64.204999999999998</v>
      </c>
      <c r="AE44">
        <v>64.144999999999996</v>
      </c>
      <c r="AF44">
        <v>140.476</v>
      </c>
      <c r="AG44">
        <v>187.28299999999999</v>
      </c>
      <c r="AH44">
        <v>141.357</v>
      </c>
      <c r="AK44">
        <v>65.872</v>
      </c>
      <c r="AL44">
        <v>66.147000000000006</v>
      </c>
      <c r="AM44">
        <v>139.99600000000001</v>
      </c>
      <c r="AN44">
        <v>151.24700000000001</v>
      </c>
      <c r="AO44">
        <v>141.89599999999999</v>
      </c>
    </row>
    <row r="45" spans="1:41" hidden="1">
      <c r="A45">
        <v>43</v>
      </c>
      <c r="B45">
        <v>114.877</v>
      </c>
      <c r="C45" s="1">
        <v>115.376</v>
      </c>
      <c r="D45" s="1">
        <v>115.28700000000001</v>
      </c>
      <c r="E45" s="1">
        <v>115.41500000000001</v>
      </c>
      <c r="F45" s="1">
        <v>140.62199999999999</v>
      </c>
      <c r="G45" s="1"/>
      <c r="H45" s="1"/>
      <c r="I45">
        <v>115.43</v>
      </c>
      <c r="J45" s="1">
        <v>115.833</v>
      </c>
      <c r="K45" s="1">
        <v>116.95800000000001</v>
      </c>
      <c r="L45" s="1">
        <v>115.64099999999999</v>
      </c>
      <c r="M45" s="1">
        <v>114.94600000000001</v>
      </c>
      <c r="N45" s="1"/>
      <c r="P45">
        <v>144.66200000000001</v>
      </c>
      <c r="Q45" s="1">
        <v>115.59800000000001</v>
      </c>
      <c r="R45" s="1">
        <v>116.64700000000001</v>
      </c>
      <c r="S45" s="1">
        <v>116.119</v>
      </c>
      <c r="T45" s="1">
        <v>115.658</v>
      </c>
      <c r="U45" s="1"/>
      <c r="W45">
        <v>64.259</v>
      </c>
      <c r="X45">
        <v>64.516000000000005</v>
      </c>
      <c r="Y45">
        <v>141.35</v>
      </c>
      <c r="Z45">
        <v>152.82400000000001</v>
      </c>
      <c r="AA45">
        <v>145.22499999999999</v>
      </c>
      <c r="AD45">
        <v>63.985999999999997</v>
      </c>
      <c r="AE45">
        <v>92.831000000000003</v>
      </c>
      <c r="AF45">
        <v>139.98599999999999</v>
      </c>
      <c r="AG45">
        <v>188.012</v>
      </c>
      <c r="AH45">
        <v>140.32599999999999</v>
      </c>
      <c r="AK45">
        <v>65.209000000000003</v>
      </c>
      <c r="AL45">
        <v>66.117000000000004</v>
      </c>
      <c r="AM45">
        <v>140.62299999999999</v>
      </c>
      <c r="AN45">
        <v>147.78399999999999</v>
      </c>
      <c r="AO45">
        <v>141.53899999999999</v>
      </c>
    </row>
    <row r="46" spans="1:41" hidden="1">
      <c r="A46">
        <v>44</v>
      </c>
      <c r="B46">
        <v>116.509</v>
      </c>
      <c r="C46" s="1">
        <v>114.873</v>
      </c>
      <c r="D46" s="1">
        <v>115.55500000000001</v>
      </c>
      <c r="E46" s="1">
        <v>116.691</v>
      </c>
      <c r="F46" s="1">
        <v>117.697</v>
      </c>
      <c r="G46" s="1"/>
      <c r="H46" s="1"/>
      <c r="I46">
        <v>115.236</v>
      </c>
      <c r="J46" s="1">
        <v>119.968</v>
      </c>
      <c r="K46" s="1">
        <v>115.691</v>
      </c>
      <c r="L46" s="1">
        <v>115.456</v>
      </c>
      <c r="M46" s="1">
        <v>114.831</v>
      </c>
      <c r="N46" s="1"/>
      <c r="P46">
        <v>116.19799999999999</v>
      </c>
      <c r="Q46" s="1">
        <v>115.67700000000001</v>
      </c>
      <c r="R46" s="1">
        <v>116.602</v>
      </c>
      <c r="S46" s="1">
        <v>116.17099999999999</v>
      </c>
      <c r="T46" s="1">
        <v>116.01899999999999</v>
      </c>
      <c r="U46" s="1"/>
      <c r="W46">
        <v>64.13</v>
      </c>
      <c r="X46">
        <v>64.722999999999999</v>
      </c>
      <c r="Y46">
        <v>140.77500000000001</v>
      </c>
      <c r="Z46">
        <v>145.95500000000001</v>
      </c>
      <c r="AA46">
        <v>148.727</v>
      </c>
      <c r="AD46">
        <v>64.555999999999997</v>
      </c>
      <c r="AE46">
        <v>64.239000000000004</v>
      </c>
      <c r="AF46">
        <v>142.447</v>
      </c>
      <c r="AG46">
        <v>187.52</v>
      </c>
      <c r="AH46">
        <v>140.42699999999999</v>
      </c>
      <c r="AK46">
        <v>65.81</v>
      </c>
      <c r="AL46">
        <v>66.188000000000002</v>
      </c>
      <c r="AM46">
        <v>140.43199999999999</v>
      </c>
      <c r="AN46">
        <v>147.68199999999999</v>
      </c>
      <c r="AO46">
        <v>142.25800000000001</v>
      </c>
    </row>
    <row r="47" spans="1:41" hidden="1">
      <c r="A47">
        <v>45</v>
      </c>
      <c r="B47">
        <v>116.922</v>
      </c>
      <c r="C47" s="1">
        <v>115.19600000000001</v>
      </c>
      <c r="D47" s="1">
        <v>116.22200000000001</v>
      </c>
      <c r="E47" s="1">
        <v>115.184</v>
      </c>
      <c r="F47" s="1">
        <v>114.316</v>
      </c>
      <c r="G47" s="1"/>
      <c r="H47" s="1"/>
      <c r="I47">
        <v>116.02800000000001</v>
      </c>
      <c r="J47" s="1">
        <v>115.77500000000001</v>
      </c>
      <c r="K47" s="1">
        <v>115.759</v>
      </c>
      <c r="L47" s="1">
        <v>115.46199999999999</v>
      </c>
      <c r="M47" s="1">
        <v>115.316</v>
      </c>
      <c r="N47" s="1"/>
      <c r="P47">
        <v>115.982</v>
      </c>
      <c r="Q47" s="1">
        <v>115.539</v>
      </c>
      <c r="R47" s="1">
        <v>120.526</v>
      </c>
      <c r="S47" s="1">
        <v>116.345</v>
      </c>
      <c r="T47" s="1">
        <v>115.05</v>
      </c>
      <c r="U47" s="1"/>
      <c r="W47">
        <v>65.418000000000006</v>
      </c>
      <c r="X47">
        <v>64.295000000000002</v>
      </c>
      <c r="Y47">
        <v>140.9</v>
      </c>
      <c r="Z47">
        <v>152.33799999999999</v>
      </c>
      <c r="AA47">
        <v>147.54300000000001</v>
      </c>
      <c r="AD47">
        <v>63.963999999999999</v>
      </c>
      <c r="AE47">
        <v>64.683000000000007</v>
      </c>
      <c r="AF47">
        <v>139.261</v>
      </c>
      <c r="AG47">
        <v>188.13499999999999</v>
      </c>
      <c r="AH47">
        <v>140.38499999999999</v>
      </c>
      <c r="AK47">
        <v>65.37</v>
      </c>
      <c r="AL47">
        <v>66.64</v>
      </c>
      <c r="AM47">
        <v>140.74199999999999</v>
      </c>
      <c r="AN47">
        <v>147.87200000000001</v>
      </c>
      <c r="AO47">
        <v>167.88499999999999</v>
      </c>
    </row>
    <row r="48" spans="1:41" hidden="1">
      <c r="A48">
        <v>46</v>
      </c>
      <c r="B48">
        <v>114.88</v>
      </c>
      <c r="C48" s="1">
        <v>115.93299999999999</v>
      </c>
      <c r="D48" s="1">
        <v>115.13500000000001</v>
      </c>
      <c r="E48" s="1">
        <v>114.87</v>
      </c>
      <c r="F48" s="1">
        <v>114.64700000000001</v>
      </c>
      <c r="G48" s="1"/>
      <c r="H48" s="1"/>
      <c r="I48">
        <v>115.639</v>
      </c>
      <c r="J48" s="1">
        <v>115.956</v>
      </c>
      <c r="K48" s="1">
        <v>134.67000000000002</v>
      </c>
      <c r="L48" s="1">
        <v>115.761</v>
      </c>
      <c r="M48" s="1">
        <v>116.57599999999999</v>
      </c>
      <c r="N48" s="1"/>
      <c r="P48">
        <v>115.319</v>
      </c>
      <c r="Q48" s="1">
        <v>114.983</v>
      </c>
      <c r="R48" s="1">
        <v>116.245</v>
      </c>
      <c r="S48" s="1">
        <v>116.732</v>
      </c>
      <c r="T48" s="1">
        <v>115.265</v>
      </c>
      <c r="U48" s="1"/>
      <c r="W48">
        <v>66.366</v>
      </c>
      <c r="X48">
        <v>63.994999999999997</v>
      </c>
      <c r="Y48">
        <v>139.94300000000001</v>
      </c>
      <c r="Z48">
        <v>169.792</v>
      </c>
      <c r="AA48">
        <v>147.035</v>
      </c>
      <c r="AD48">
        <v>64.317999999999998</v>
      </c>
      <c r="AE48">
        <v>64.186000000000007</v>
      </c>
      <c r="AF48">
        <v>140.43</v>
      </c>
      <c r="AG48">
        <v>188.28299999999999</v>
      </c>
      <c r="AH48">
        <v>140.43199999999999</v>
      </c>
      <c r="AK48">
        <v>66.641000000000005</v>
      </c>
      <c r="AL48">
        <v>66.381</v>
      </c>
      <c r="AM48">
        <v>140.21899999999999</v>
      </c>
      <c r="AN48">
        <v>148.31800000000001</v>
      </c>
      <c r="AO48">
        <v>142.77799999999999</v>
      </c>
    </row>
    <row r="49" spans="1:41" hidden="1">
      <c r="A49">
        <v>47</v>
      </c>
      <c r="B49">
        <v>115.49</v>
      </c>
      <c r="C49" s="1">
        <v>115.375</v>
      </c>
      <c r="D49" s="1">
        <v>114.99</v>
      </c>
      <c r="E49" s="1">
        <v>114.94799999999999</v>
      </c>
      <c r="F49" s="1">
        <v>114.634</v>
      </c>
      <c r="G49" s="1"/>
      <c r="H49" s="1"/>
      <c r="I49">
        <v>115.422</v>
      </c>
      <c r="J49" s="1">
        <v>115.48</v>
      </c>
      <c r="K49" s="1">
        <v>115.708</v>
      </c>
      <c r="L49" s="1">
        <v>116.667</v>
      </c>
      <c r="M49" s="1">
        <v>115.19799999999999</v>
      </c>
      <c r="N49" s="1"/>
      <c r="P49">
        <v>115.598</v>
      </c>
      <c r="Q49" s="1">
        <v>140.95499999999998</v>
      </c>
      <c r="R49" s="1">
        <v>116.657</v>
      </c>
      <c r="S49" s="1">
        <v>116.393</v>
      </c>
      <c r="T49" s="1">
        <v>114.82000000000001</v>
      </c>
      <c r="U49" s="1"/>
      <c r="W49">
        <v>65.462000000000003</v>
      </c>
      <c r="X49">
        <v>63.936999999999998</v>
      </c>
      <c r="Y49">
        <v>141.75800000000001</v>
      </c>
      <c r="Z49">
        <v>152.95500000000001</v>
      </c>
      <c r="AA49">
        <v>147.142</v>
      </c>
      <c r="AD49">
        <v>63.936</v>
      </c>
      <c r="AE49">
        <v>64.158000000000001</v>
      </c>
      <c r="AF49">
        <v>157.57900000000001</v>
      </c>
      <c r="AG49">
        <v>188.08799999999999</v>
      </c>
      <c r="AH49">
        <v>140.16900000000001</v>
      </c>
      <c r="AK49">
        <v>65.513000000000005</v>
      </c>
      <c r="AL49">
        <v>66.296999999999997</v>
      </c>
      <c r="AM49">
        <v>140.22900000000001</v>
      </c>
      <c r="AN49">
        <v>150.49</v>
      </c>
      <c r="AO49">
        <v>142.56299999999999</v>
      </c>
    </row>
    <row r="50" spans="1:41" hidden="1">
      <c r="A50">
        <v>48</v>
      </c>
      <c r="B50">
        <v>117.473</v>
      </c>
      <c r="C50" s="1">
        <v>136.81199999999998</v>
      </c>
      <c r="D50" s="1">
        <v>114.93100000000001</v>
      </c>
      <c r="E50" s="1">
        <v>115.22</v>
      </c>
      <c r="F50" s="1">
        <v>116.196</v>
      </c>
      <c r="G50" s="1"/>
      <c r="H50" s="1"/>
      <c r="I50">
        <v>115.366</v>
      </c>
      <c r="J50" s="1">
        <v>115.376</v>
      </c>
      <c r="K50" s="1">
        <v>116.125</v>
      </c>
      <c r="L50" s="1">
        <v>116.449</v>
      </c>
      <c r="M50" s="1">
        <v>114.97799999999999</v>
      </c>
      <c r="N50" s="1"/>
      <c r="P50">
        <v>115.233</v>
      </c>
      <c r="Q50" s="1">
        <v>115.97200000000001</v>
      </c>
      <c r="R50" s="1">
        <v>115.92399999999999</v>
      </c>
      <c r="S50" s="1">
        <v>116.001</v>
      </c>
      <c r="T50" s="1">
        <v>115.105</v>
      </c>
      <c r="U50" s="1"/>
      <c r="W50">
        <v>66.957999999999998</v>
      </c>
      <c r="X50">
        <v>64.697000000000003</v>
      </c>
      <c r="Y50">
        <v>144.10300000000001</v>
      </c>
      <c r="Z50">
        <v>146.584</v>
      </c>
      <c r="AA50">
        <v>145.47399999999999</v>
      </c>
      <c r="AD50">
        <v>64.138999999999996</v>
      </c>
      <c r="AE50">
        <v>64.096000000000004</v>
      </c>
      <c r="AF50">
        <v>141.452</v>
      </c>
      <c r="AG50">
        <v>187.17</v>
      </c>
      <c r="AH50">
        <v>140.11000000000001</v>
      </c>
      <c r="AK50">
        <v>65.86</v>
      </c>
      <c r="AL50">
        <v>66.381</v>
      </c>
      <c r="AM50">
        <v>140.28100000000001</v>
      </c>
      <c r="AN50">
        <v>148.98400000000001</v>
      </c>
      <c r="AO50">
        <v>142.41900000000001</v>
      </c>
    </row>
    <row r="51" spans="1:41" hidden="1">
      <c r="A51">
        <v>49</v>
      </c>
      <c r="B51">
        <v>115.008</v>
      </c>
      <c r="C51" s="1">
        <v>115.34899999999999</v>
      </c>
      <c r="D51" s="1">
        <v>115.501</v>
      </c>
      <c r="E51" s="1">
        <v>115.988</v>
      </c>
      <c r="F51" s="1">
        <v>115.97399999999999</v>
      </c>
      <c r="G51" s="1"/>
      <c r="H51" s="1"/>
      <c r="I51">
        <v>117.93600000000001</v>
      </c>
      <c r="J51" s="1">
        <v>115.43299999999999</v>
      </c>
      <c r="K51" s="1">
        <v>117.012</v>
      </c>
      <c r="L51" s="1">
        <v>116.22300000000001</v>
      </c>
      <c r="M51" s="1">
        <v>115.187</v>
      </c>
      <c r="N51" s="1"/>
      <c r="P51">
        <v>117.249</v>
      </c>
      <c r="Q51" s="1">
        <v>118.52600000000001</v>
      </c>
      <c r="R51" s="1">
        <v>116.38999999999999</v>
      </c>
      <c r="S51" s="1">
        <v>117.298</v>
      </c>
      <c r="T51" s="1">
        <v>136.285</v>
      </c>
      <c r="U51" s="1"/>
      <c r="W51">
        <v>66.144000000000005</v>
      </c>
      <c r="X51">
        <v>64.054000000000002</v>
      </c>
      <c r="Y51">
        <v>141.54900000000001</v>
      </c>
      <c r="Z51">
        <v>153.018</v>
      </c>
      <c r="AA51">
        <v>145.18299999999999</v>
      </c>
      <c r="AD51">
        <v>65.412000000000006</v>
      </c>
      <c r="AE51">
        <v>64.540000000000006</v>
      </c>
      <c r="AF51">
        <v>140.244</v>
      </c>
      <c r="AG51">
        <v>187.75899999999999</v>
      </c>
      <c r="AH51">
        <v>141.05600000000001</v>
      </c>
      <c r="AK51">
        <v>65.260999999999996</v>
      </c>
      <c r="AL51">
        <v>66.06</v>
      </c>
      <c r="AM51">
        <v>141.852</v>
      </c>
      <c r="AN51">
        <v>148.45400000000001</v>
      </c>
      <c r="AO51">
        <v>141.76499999999999</v>
      </c>
    </row>
    <row r="52" spans="1:41" hidden="1">
      <c r="A52">
        <v>50</v>
      </c>
      <c r="B52">
        <v>114.965</v>
      </c>
      <c r="C52" s="1">
        <v>115.88500000000001</v>
      </c>
      <c r="D52" s="1">
        <v>115.43599999999999</v>
      </c>
      <c r="E52" s="1">
        <v>116.342</v>
      </c>
      <c r="F52" s="1">
        <v>115.02999999999999</v>
      </c>
      <c r="G52" s="1"/>
      <c r="H52" s="1"/>
      <c r="I52">
        <v>115.633</v>
      </c>
      <c r="J52" s="1">
        <v>116.586</v>
      </c>
      <c r="K52" s="1">
        <v>116.134</v>
      </c>
      <c r="L52" s="1">
        <v>141.54500000000002</v>
      </c>
      <c r="M52" s="1">
        <v>115.241</v>
      </c>
      <c r="N52" s="1"/>
      <c r="P52">
        <v>120.94199999999999</v>
      </c>
      <c r="Q52" s="1">
        <v>116.75399999999999</v>
      </c>
      <c r="R52" s="1">
        <v>115.92700000000001</v>
      </c>
      <c r="S52" s="1">
        <v>116.491</v>
      </c>
      <c r="T52" s="1">
        <v>115.79599999999999</v>
      </c>
      <c r="U52" s="1"/>
      <c r="W52">
        <v>64.450999999999993</v>
      </c>
      <c r="X52">
        <v>63.802999999999997</v>
      </c>
      <c r="Y52">
        <v>140.56899999999999</v>
      </c>
      <c r="Z52">
        <v>145.523</v>
      </c>
      <c r="AA52">
        <v>144.97900000000001</v>
      </c>
      <c r="AD52">
        <v>64.156999999999996</v>
      </c>
      <c r="AE52">
        <v>64.804000000000002</v>
      </c>
      <c r="AF52">
        <v>140.97300000000001</v>
      </c>
      <c r="AG52">
        <v>187.84399999999999</v>
      </c>
      <c r="AH52">
        <v>140.44499999999999</v>
      </c>
      <c r="AK52">
        <v>65.924999999999997</v>
      </c>
      <c r="AL52">
        <v>86.932000000000002</v>
      </c>
      <c r="AM52">
        <v>140.66200000000001</v>
      </c>
      <c r="AN52">
        <v>148.36699999999999</v>
      </c>
      <c r="AO52">
        <v>142.358</v>
      </c>
    </row>
    <row r="53" spans="1:41" hidden="1">
      <c r="A53">
        <v>51</v>
      </c>
      <c r="B53">
        <v>115.458</v>
      </c>
      <c r="C53" s="1">
        <v>114.794</v>
      </c>
      <c r="D53" s="1">
        <v>116.58399999999999</v>
      </c>
      <c r="E53" s="1">
        <v>115.74299999999999</v>
      </c>
      <c r="F53" s="1">
        <v>114.986</v>
      </c>
      <c r="G53" s="1"/>
      <c r="I53">
        <v>116.751</v>
      </c>
      <c r="J53" s="1">
        <v>115.402</v>
      </c>
      <c r="K53" s="1">
        <v>115.87899999999999</v>
      </c>
      <c r="L53" s="1">
        <v>115.706</v>
      </c>
      <c r="M53" s="1">
        <v>116.25700000000001</v>
      </c>
      <c r="N53" s="1"/>
      <c r="P53">
        <v>116.03700000000001</v>
      </c>
      <c r="Q53" s="1">
        <v>115.4</v>
      </c>
      <c r="R53" s="1">
        <v>149.821</v>
      </c>
      <c r="S53" s="1">
        <v>117.70700000000001</v>
      </c>
      <c r="T53" s="1">
        <v>115.48400000000001</v>
      </c>
      <c r="U53" s="1"/>
      <c r="W53">
        <v>96.983000000000004</v>
      </c>
      <c r="X53">
        <v>63.54</v>
      </c>
      <c r="Y53">
        <v>142.90199999999999</v>
      </c>
      <c r="Z53">
        <v>151.76400000000001</v>
      </c>
      <c r="AA53">
        <v>146.71100000000001</v>
      </c>
      <c r="AD53">
        <v>63.814</v>
      </c>
      <c r="AE53">
        <v>64.222999999999999</v>
      </c>
      <c r="AF53">
        <v>154.96700000000001</v>
      </c>
      <c r="AG53">
        <v>187.63200000000001</v>
      </c>
      <c r="AH53">
        <v>140.553</v>
      </c>
      <c r="AK53">
        <v>65.900000000000006</v>
      </c>
      <c r="AL53">
        <v>66.117000000000004</v>
      </c>
      <c r="AM53">
        <v>140.71600000000001</v>
      </c>
      <c r="AN53">
        <v>147.68299999999999</v>
      </c>
      <c r="AO53">
        <v>141.739</v>
      </c>
    </row>
    <row r="54" spans="1:41" hidden="1">
      <c r="A54">
        <v>52</v>
      </c>
      <c r="B54">
        <v>115.446</v>
      </c>
      <c r="C54" s="1">
        <v>115.765</v>
      </c>
      <c r="D54" s="1">
        <v>142.012</v>
      </c>
      <c r="E54" s="1">
        <v>115.27200000000001</v>
      </c>
      <c r="F54" s="1">
        <v>114.88200000000001</v>
      </c>
      <c r="G54" s="1"/>
      <c r="H54" s="1"/>
      <c r="I54">
        <v>116.505</v>
      </c>
      <c r="J54" s="1">
        <v>115.37899999999999</v>
      </c>
      <c r="K54" s="1">
        <v>115.96299999999999</v>
      </c>
      <c r="L54" s="1">
        <v>115.55799999999999</v>
      </c>
      <c r="M54" s="1">
        <v>116.31700000000001</v>
      </c>
      <c r="N54" s="1"/>
      <c r="P54">
        <v>115.64</v>
      </c>
      <c r="Q54" s="1">
        <v>116.20099999999999</v>
      </c>
      <c r="R54" s="1">
        <v>116.601</v>
      </c>
      <c r="S54" s="1">
        <v>116.48699999999999</v>
      </c>
      <c r="T54" s="1">
        <v>115.089</v>
      </c>
      <c r="U54" s="1"/>
      <c r="W54">
        <v>65.412000000000006</v>
      </c>
      <c r="X54">
        <v>64.843999999999994</v>
      </c>
      <c r="Y54">
        <v>139.672</v>
      </c>
      <c r="Z54">
        <v>145.19800000000001</v>
      </c>
      <c r="AA54">
        <v>146.423</v>
      </c>
      <c r="AD54">
        <v>64.197999999999993</v>
      </c>
      <c r="AE54">
        <v>64.290000000000006</v>
      </c>
      <c r="AF54">
        <v>140.88</v>
      </c>
      <c r="AG54">
        <v>188.19900000000001</v>
      </c>
      <c r="AH54">
        <v>139.81700000000001</v>
      </c>
      <c r="AK54">
        <v>65.924000000000007</v>
      </c>
      <c r="AL54">
        <v>66.144000000000005</v>
      </c>
      <c r="AM54">
        <v>140.86500000000001</v>
      </c>
      <c r="AN54">
        <v>148.31399999999999</v>
      </c>
      <c r="AO54">
        <v>143.012</v>
      </c>
    </row>
    <row r="55" spans="1:41" hidden="1">
      <c r="A55">
        <v>53</v>
      </c>
      <c r="B55">
        <v>116.54300000000001</v>
      </c>
      <c r="C55" s="1">
        <v>115.464</v>
      </c>
      <c r="D55" s="1">
        <v>115.33699999999999</v>
      </c>
      <c r="E55" s="1">
        <v>116.65300000000001</v>
      </c>
      <c r="F55" s="1">
        <v>116.646</v>
      </c>
      <c r="G55" s="1"/>
      <c r="I55">
        <v>115.548</v>
      </c>
      <c r="J55" s="1">
        <v>115.40300000000001</v>
      </c>
      <c r="K55" s="1">
        <v>115.60599999999999</v>
      </c>
      <c r="L55" s="1">
        <v>116.69200000000001</v>
      </c>
      <c r="M55" s="1">
        <v>115.258</v>
      </c>
      <c r="N55" s="1"/>
      <c r="P55">
        <v>115.694</v>
      </c>
      <c r="Q55" s="1">
        <v>115.94500000000001</v>
      </c>
      <c r="R55" s="1">
        <v>116.55600000000001</v>
      </c>
      <c r="S55" s="1">
        <v>116.08</v>
      </c>
      <c r="T55" s="1">
        <v>115.19799999999999</v>
      </c>
      <c r="U55" s="1"/>
      <c r="W55">
        <v>65.106999999999999</v>
      </c>
      <c r="X55">
        <v>64.070999999999998</v>
      </c>
      <c r="Y55">
        <v>140.57300000000001</v>
      </c>
      <c r="Z55">
        <v>152.32900000000001</v>
      </c>
      <c r="AA55">
        <v>146.06700000000001</v>
      </c>
      <c r="AD55">
        <v>63.828000000000003</v>
      </c>
      <c r="AE55">
        <v>64.513999999999996</v>
      </c>
      <c r="AF55">
        <v>139.69999999999999</v>
      </c>
      <c r="AG55">
        <v>188.06700000000001</v>
      </c>
      <c r="AH55">
        <v>140.053</v>
      </c>
      <c r="AK55">
        <v>65.638999999999996</v>
      </c>
      <c r="AL55">
        <v>66.903000000000006</v>
      </c>
      <c r="AM55">
        <v>140.13200000000001</v>
      </c>
      <c r="AN55">
        <v>150.215</v>
      </c>
      <c r="AO55">
        <v>143.208</v>
      </c>
    </row>
    <row r="56" spans="1:41" hidden="1">
      <c r="A56">
        <v>54</v>
      </c>
      <c r="B56">
        <v>115.90900000000001</v>
      </c>
      <c r="C56" s="1">
        <v>161.03500000000003</v>
      </c>
      <c r="D56" s="1">
        <v>129.05500000000001</v>
      </c>
      <c r="E56" s="1">
        <v>121.395</v>
      </c>
      <c r="F56" s="1">
        <v>118.244</v>
      </c>
      <c r="G56" s="1"/>
      <c r="H56" s="1"/>
      <c r="I56">
        <v>114.998</v>
      </c>
      <c r="J56" s="1">
        <v>114.64</v>
      </c>
      <c r="K56" s="1">
        <v>115.577</v>
      </c>
      <c r="L56" s="1">
        <v>116.837</v>
      </c>
      <c r="M56" s="1">
        <v>140.79500000000002</v>
      </c>
      <c r="N56" s="1"/>
      <c r="P56">
        <v>116.149</v>
      </c>
      <c r="Q56" s="1">
        <v>115.51899999999999</v>
      </c>
      <c r="R56" s="1">
        <v>115.855</v>
      </c>
      <c r="S56" s="1">
        <v>115.98</v>
      </c>
      <c r="T56" s="1">
        <v>115.85299999999999</v>
      </c>
      <c r="U56" s="1"/>
      <c r="W56">
        <v>67.555000000000007</v>
      </c>
      <c r="X56">
        <v>64.724999999999994</v>
      </c>
      <c r="Y56">
        <v>142.142</v>
      </c>
      <c r="Z56">
        <v>146.642</v>
      </c>
      <c r="AA56">
        <v>145.935</v>
      </c>
      <c r="AD56">
        <v>64.09</v>
      </c>
      <c r="AE56">
        <v>64.570999999999998</v>
      </c>
      <c r="AF56">
        <v>140.732</v>
      </c>
      <c r="AG56">
        <v>187.33799999999999</v>
      </c>
      <c r="AH56">
        <v>142.458</v>
      </c>
      <c r="AK56">
        <v>67.725999999999999</v>
      </c>
      <c r="AL56">
        <v>66.296999999999997</v>
      </c>
      <c r="AM56">
        <v>139.702</v>
      </c>
      <c r="AN56">
        <v>177.08600000000001</v>
      </c>
      <c r="AO56">
        <v>144.44300000000001</v>
      </c>
    </row>
    <row r="57" spans="1:41" hidden="1">
      <c r="A57">
        <v>55</v>
      </c>
      <c r="B57">
        <v>117.98699999999999</v>
      </c>
      <c r="C57" s="1">
        <v>115.91</v>
      </c>
      <c r="D57" s="1">
        <v>115.93299999999999</v>
      </c>
      <c r="E57" s="1">
        <v>118.304</v>
      </c>
      <c r="F57" s="1">
        <v>117.07299999999999</v>
      </c>
      <c r="G57" s="1"/>
      <c r="H57" s="1"/>
      <c r="I57">
        <v>119.751</v>
      </c>
      <c r="J57" s="1">
        <v>116.071</v>
      </c>
      <c r="K57" s="1">
        <v>118.072</v>
      </c>
      <c r="L57" s="1">
        <v>115.934</v>
      </c>
      <c r="M57" s="1">
        <v>116.19699999999999</v>
      </c>
      <c r="N57" s="1"/>
      <c r="P57">
        <v>116.125</v>
      </c>
      <c r="Q57" s="1">
        <v>116.69499999999999</v>
      </c>
      <c r="R57" s="1">
        <v>116.179</v>
      </c>
      <c r="S57" s="1">
        <v>135.33800000000002</v>
      </c>
      <c r="T57" s="1">
        <v>115.86200000000001</v>
      </c>
      <c r="U57" s="1"/>
      <c r="W57">
        <v>69.828999999999994</v>
      </c>
      <c r="X57">
        <v>67.965999999999994</v>
      </c>
      <c r="Y57">
        <v>211.75700000000001</v>
      </c>
      <c r="Z57">
        <v>161.94300000000001</v>
      </c>
      <c r="AA57">
        <v>152.18700000000001</v>
      </c>
      <c r="AD57">
        <v>64.192999999999998</v>
      </c>
      <c r="AE57">
        <v>64.509</v>
      </c>
      <c r="AF57">
        <v>139.13200000000001</v>
      </c>
      <c r="AG57">
        <v>212.73400000000001</v>
      </c>
      <c r="AH57">
        <v>145.53899999999999</v>
      </c>
      <c r="AK57">
        <v>65.313999999999993</v>
      </c>
      <c r="AL57">
        <v>66.266999999999996</v>
      </c>
      <c r="AM57">
        <v>140.27199999999999</v>
      </c>
      <c r="AN57">
        <v>148.374</v>
      </c>
      <c r="AO57">
        <v>142.77099999999999</v>
      </c>
    </row>
    <row r="58" spans="1:41" hidden="1">
      <c r="A58">
        <v>56</v>
      </c>
      <c r="B58">
        <v>117.533</v>
      </c>
      <c r="C58" s="1">
        <v>116.18599999999999</v>
      </c>
      <c r="D58" s="1">
        <v>138.476</v>
      </c>
      <c r="E58" s="1">
        <v>118.11399999999999</v>
      </c>
      <c r="F58" s="1">
        <v>116.292</v>
      </c>
      <c r="G58" s="1"/>
      <c r="H58" s="1"/>
      <c r="I58">
        <v>115.46599999999999</v>
      </c>
      <c r="J58" s="1">
        <v>116.22799999999999</v>
      </c>
      <c r="K58" s="1">
        <v>115.875</v>
      </c>
      <c r="L58" s="1">
        <v>115.67399999999999</v>
      </c>
      <c r="M58" s="1">
        <v>115.34</v>
      </c>
      <c r="N58" s="1"/>
      <c r="P58">
        <v>115.70399999999999</v>
      </c>
      <c r="Q58" s="1">
        <v>115.563</v>
      </c>
      <c r="R58" s="1">
        <v>116.03</v>
      </c>
      <c r="S58" s="1">
        <v>117.664</v>
      </c>
      <c r="T58" s="1">
        <v>115.721</v>
      </c>
      <c r="U58" s="1"/>
      <c r="W58">
        <v>67.257000000000005</v>
      </c>
      <c r="X58">
        <v>67.215999999999994</v>
      </c>
      <c r="Y58">
        <v>148.96700000000001</v>
      </c>
      <c r="Z58">
        <v>228.22</v>
      </c>
      <c r="AA58">
        <v>146.55099999999999</v>
      </c>
      <c r="AD58">
        <v>64.613</v>
      </c>
      <c r="AE58">
        <v>65.224999999999994</v>
      </c>
      <c r="AF58">
        <v>141.393</v>
      </c>
      <c r="AG58">
        <v>189.08</v>
      </c>
      <c r="AH58">
        <v>143.18799999999999</v>
      </c>
      <c r="AK58">
        <v>65.89</v>
      </c>
      <c r="AL58">
        <v>66.084000000000003</v>
      </c>
      <c r="AM58">
        <v>140.43799999999999</v>
      </c>
      <c r="AN58">
        <v>147.941</v>
      </c>
      <c r="AO58">
        <v>142.01599999999999</v>
      </c>
    </row>
    <row r="59" spans="1:41" hidden="1">
      <c r="A59">
        <v>57</v>
      </c>
      <c r="B59">
        <v>116.355</v>
      </c>
      <c r="C59" s="1">
        <v>117.44200000000001</v>
      </c>
      <c r="D59" s="1">
        <v>124.85799999999999</v>
      </c>
      <c r="E59" s="1">
        <v>116.28399999999999</v>
      </c>
      <c r="F59" s="1">
        <v>116.375</v>
      </c>
      <c r="G59" s="1"/>
      <c r="H59" s="1"/>
      <c r="I59">
        <v>116.77200000000001</v>
      </c>
      <c r="J59" s="1">
        <v>115.745</v>
      </c>
      <c r="K59" s="1">
        <v>115.87</v>
      </c>
      <c r="L59" s="1">
        <v>116.005</v>
      </c>
      <c r="M59" s="1">
        <v>115.773</v>
      </c>
      <c r="P59">
        <v>115.833</v>
      </c>
      <c r="Q59" s="1">
        <v>118.812</v>
      </c>
      <c r="R59" s="1">
        <v>116.98899999999999</v>
      </c>
      <c r="S59" s="1">
        <v>116.756</v>
      </c>
      <c r="T59" s="1">
        <v>115.325</v>
      </c>
      <c r="W59">
        <v>64.527000000000001</v>
      </c>
      <c r="X59">
        <v>64.245999999999995</v>
      </c>
      <c r="Y59">
        <v>140.489</v>
      </c>
      <c r="Z59">
        <v>152.94800000000001</v>
      </c>
      <c r="AA59">
        <v>145.53200000000001</v>
      </c>
      <c r="AD59">
        <v>64.322999999999993</v>
      </c>
      <c r="AE59">
        <v>64.269000000000005</v>
      </c>
      <c r="AF59">
        <v>139.929</v>
      </c>
      <c r="AG59">
        <v>193.37299999999999</v>
      </c>
      <c r="AH59">
        <v>141.995</v>
      </c>
      <c r="AK59">
        <v>65.058000000000007</v>
      </c>
      <c r="AL59">
        <v>66.587999999999994</v>
      </c>
      <c r="AM59">
        <v>141.80199999999999</v>
      </c>
      <c r="AN59">
        <v>154.60599999999999</v>
      </c>
      <c r="AO59">
        <v>141.62799999999999</v>
      </c>
    </row>
    <row r="60" spans="1:41" hidden="1">
      <c r="A60">
        <v>58</v>
      </c>
      <c r="B60">
        <v>117.337</v>
      </c>
      <c r="C60" s="1">
        <v>117.066</v>
      </c>
      <c r="D60" s="1">
        <v>116.294</v>
      </c>
      <c r="E60" s="1">
        <v>115.622</v>
      </c>
      <c r="F60" s="1">
        <v>116.06400000000001</v>
      </c>
      <c r="G60" s="1"/>
      <c r="H60" s="1"/>
      <c r="I60">
        <v>115.855</v>
      </c>
      <c r="J60" s="1">
        <v>116.28399999999999</v>
      </c>
      <c r="K60" s="1">
        <v>115.92399999999999</v>
      </c>
      <c r="L60" s="1">
        <v>115.621</v>
      </c>
      <c r="M60" s="1">
        <v>115.83499999999999</v>
      </c>
      <c r="N60" s="1"/>
      <c r="P60">
        <v>116.511</v>
      </c>
      <c r="Q60" s="1">
        <v>116.04899999999999</v>
      </c>
      <c r="R60" s="1">
        <v>116.407</v>
      </c>
      <c r="S60" s="1">
        <v>116.93299999999999</v>
      </c>
      <c r="T60" s="1">
        <v>116.09700000000001</v>
      </c>
      <c r="U60" s="1"/>
      <c r="W60">
        <v>64.811999999999998</v>
      </c>
      <c r="X60">
        <v>63.875</v>
      </c>
      <c r="Y60">
        <v>138.886</v>
      </c>
      <c r="Z60">
        <v>147.36500000000001</v>
      </c>
      <c r="AA60">
        <v>145.20400000000001</v>
      </c>
      <c r="AD60">
        <v>64.346000000000004</v>
      </c>
      <c r="AE60">
        <v>64.921000000000006</v>
      </c>
      <c r="AF60">
        <v>142.76599999999999</v>
      </c>
      <c r="AG60">
        <v>191.047</v>
      </c>
      <c r="AH60">
        <v>143.24199999999999</v>
      </c>
      <c r="AK60">
        <v>65.600999999999999</v>
      </c>
      <c r="AL60">
        <v>66.334000000000003</v>
      </c>
      <c r="AM60">
        <v>140.69900000000001</v>
      </c>
      <c r="AN60">
        <v>147.86000000000001</v>
      </c>
      <c r="AO60">
        <v>158.29400000000001</v>
      </c>
    </row>
    <row r="61" spans="1:41" hidden="1">
      <c r="A61">
        <v>59</v>
      </c>
      <c r="B61">
        <v>115.667</v>
      </c>
      <c r="C61" s="1">
        <v>115.10900000000001</v>
      </c>
      <c r="D61" s="1">
        <v>115.94</v>
      </c>
      <c r="E61" s="1">
        <v>117.54</v>
      </c>
      <c r="F61" s="1">
        <v>118.61199999999999</v>
      </c>
      <c r="G61" s="1"/>
      <c r="H61" s="1"/>
      <c r="I61">
        <v>115.61799999999999</v>
      </c>
      <c r="J61" s="1">
        <v>138.19899999999998</v>
      </c>
      <c r="K61" s="1">
        <v>115.992</v>
      </c>
      <c r="L61" s="1">
        <v>116.715</v>
      </c>
      <c r="M61" s="1">
        <v>115.34899999999999</v>
      </c>
      <c r="N61" s="1"/>
      <c r="P61">
        <v>116.72</v>
      </c>
      <c r="Q61" s="1">
        <v>115.99299999999999</v>
      </c>
      <c r="R61" s="1">
        <v>116.4</v>
      </c>
      <c r="S61" s="1">
        <v>116.51</v>
      </c>
      <c r="T61" s="1">
        <v>140.46800000000002</v>
      </c>
      <c r="U61" s="1"/>
      <c r="W61">
        <v>64.504000000000005</v>
      </c>
      <c r="X61">
        <v>63.667000000000002</v>
      </c>
      <c r="Y61">
        <v>140.28100000000001</v>
      </c>
      <c r="Z61">
        <v>152.03899999999999</v>
      </c>
      <c r="AA61">
        <v>144.87899999999999</v>
      </c>
      <c r="AD61">
        <v>65.150000000000006</v>
      </c>
      <c r="AE61">
        <v>64.992000000000004</v>
      </c>
      <c r="AF61">
        <v>141.20400000000001</v>
      </c>
      <c r="AG61">
        <v>215.304</v>
      </c>
      <c r="AH61">
        <v>142.44399999999999</v>
      </c>
      <c r="AK61">
        <v>65.432000000000002</v>
      </c>
      <c r="AL61">
        <v>66.399000000000001</v>
      </c>
      <c r="AM61">
        <v>141.339</v>
      </c>
      <c r="AN61">
        <v>147.86600000000001</v>
      </c>
      <c r="AO61">
        <v>144.65899999999999</v>
      </c>
    </row>
    <row r="62" spans="1:41" hidden="1">
      <c r="A62">
        <v>60</v>
      </c>
      <c r="B62">
        <v>120.09099999999999</v>
      </c>
      <c r="C62" s="1">
        <v>116.836</v>
      </c>
      <c r="D62" s="1">
        <v>116.161</v>
      </c>
      <c r="E62" s="1">
        <v>143.43800000000002</v>
      </c>
      <c r="F62" s="1">
        <v>117.82599999999999</v>
      </c>
      <c r="G62" s="1"/>
      <c r="H62" s="1"/>
      <c r="I62">
        <v>115.373</v>
      </c>
      <c r="J62" s="1">
        <v>115.34</v>
      </c>
      <c r="K62" s="1">
        <v>117.259</v>
      </c>
      <c r="L62" s="1">
        <v>116.83300000000001</v>
      </c>
      <c r="M62" s="1">
        <v>115.101</v>
      </c>
      <c r="N62" s="1"/>
      <c r="P62">
        <v>116.444</v>
      </c>
      <c r="Q62" s="1">
        <v>115.90300000000001</v>
      </c>
      <c r="R62" s="1">
        <v>116.607</v>
      </c>
      <c r="S62" s="1">
        <v>116.345</v>
      </c>
      <c r="T62" s="1">
        <v>115.895</v>
      </c>
      <c r="U62" s="1"/>
      <c r="W62">
        <v>63.984999999999999</v>
      </c>
      <c r="X62">
        <v>63.55</v>
      </c>
      <c r="Y62">
        <v>157.904</v>
      </c>
      <c r="Z62">
        <v>150.68799999999999</v>
      </c>
      <c r="AA62">
        <v>145.56200000000001</v>
      </c>
      <c r="AD62">
        <v>64.653999999999996</v>
      </c>
      <c r="AE62">
        <v>64.057000000000002</v>
      </c>
      <c r="AF62">
        <v>141.28899999999999</v>
      </c>
      <c r="AG62">
        <v>189.40899999999999</v>
      </c>
      <c r="AH62">
        <v>140.80699999999999</v>
      </c>
      <c r="AK62">
        <v>65.704999999999998</v>
      </c>
      <c r="AL62">
        <v>67.331000000000003</v>
      </c>
      <c r="AM62">
        <v>139.779</v>
      </c>
      <c r="AN62">
        <v>147.94300000000001</v>
      </c>
      <c r="AO62">
        <v>141.917</v>
      </c>
    </row>
    <row r="63" spans="1:41" hidden="1">
      <c r="A63">
        <v>61</v>
      </c>
      <c r="B63">
        <v>116.556</v>
      </c>
      <c r="C63" s="1">
        <v>115.255</v>
      </c>
      <c r="D63" s="1">
        <v>115.94200000000001</v>
      </c>
      <c r="E63" s="1">
        <v>116.20400000000001</v>
      </c>
      <c r="F63" s="1">
        <v>115.40400000000001</v>
      </c>
      <c r="G63" s="1"/>
      <c r="H63" s="1"/>
      <c r="I63">
        <v>118.20099999999999</v>
      </c>
      <c r="J63" s="1">
        <v>115.59700000000001</v>
      </c>
      <c r="K63" s="1">
        <v>116.465</v>
      </c>
      <c r="L63" s="1">
        <v>115.79899999999999</v>
      </c>
      <c r="M63" s="1">
        <v>115.967</v>
      </c>
      <c r="N63" s="1"/>
      <c r="P63">
        <v>116.151</v>
      </c>
      <c r="Q63" s="1">
        <v>115.71</v>
      </c>
      <c r="R63" s="1">
        <v>116.149</v>
      </c>
      <c r="S63" s="1">
        <v>116.91600000000001</v>
      </c>
      <c r="T63" s="1">
        <v>115.372</v>
      </c>
      <c r="U63" s="1"/>
      <c r="W63">
        <v>63.869</v>
      </c>
      <c r="X63">
        <v>63.625999999999998</v>
      </c>
      <c r="Y63">
        <v>141.28899999999999</v>
      </c>
      <c r="Z63">
        <v>152.45699999999999</v>
      </c>
      <c r="AA63">
        <v>144.49799999999999</v>
      </c>
      <c r="AD63">
        <v>64.299000000000007</v>
      </c>
      <c r="AE63">
        <v>64.498999999999995</v>
      </c>
      <c r="AF63">
        <v>139.56800000000001</v>
      </c>
      <c r="AG63">
        <v>188.05099999999999</v>
      </c>
      <c r="AH63">
        <v>140.19800000000001</v>
      </c>
      <c r="AK63">
        <v>66.284999999999997</v>
      </c>
      <c r="AL63">
        <v>66.254000000000005</v>
      </c>
      <c r="AM63">
        <v>140.13999999999999</v>
      </c>
      <c r="AN63">
        <v>148.05600000000001</v>
      </c>
      <c r="AO63">
        <v>142.23099999999999</v>
      </c>
    </row>
    <row r="64" spans="1:41" hidden="1">
      <c r="A64">
        <v>62</v>
      </c>
      <c r="B64">
        <v>115.705</v>
      </c>
      <c r="C64" s="1">
        <v>115.85</v>
      </c>
      <c r="D64" s="1">
        <v>115.164</v>
      </c>
      <c r="E64" s="1">
        <v>114.846</v>
      </c>
      <c r="F64" s="1">
        <v>114.07000000000001</v>
      </c>
      <c r="G64" s="1"/>
      <c r="H64" s="1"/>
      <c r="I64">
        <v>115.496</v>
      </c>
      <c r="J64" s="1">
        <v>117.018</v>
      </c>
      <c r="K64" s="1">
        <v>116.18</v>
      </c>
      <c r="L64" s="1">
        <v>116.111</v>
      </c>
      <c r="M64" s="1">
        <v>115.203</v>
      </c>
      <c r="N64" s="1"/>
      <c r="P64">
        <v>116.158</v>
      </c>
      <c r="Q64" s="1">
        <v>115.46199999999999</v>
      </c>
      <c r="R64" s="1">
        <v>116.74900000000001</v>
      </c>
      <c r="S64" s="1">
        <v>116.68900000000001</v>
      </c>
      <c r="T64" s="1">
        <v>115.21599999999999</v>
      </c>
      <c r="U64" s="1"/>
      <c r="W64">
        <v>63.945</v>
      </c>
      <c r="X64">
        <v>63.951999999999998</v>
      </c>
      <c r="Y64">
        <v>139.54499999999999</v>
      </c>
      <c r="Z64">
        <v>145.435</v>
      </c>
      <c r="AA64">
        <v>145.87200000000001</v>
      </c>
      <c r="AD64">
        <v>64.165000000000006</v>
      </c>
      <c r="AE64">
        <v>64.38</v>
      </c>
      <c r="AF64">
        <v>140.947</v>
      </c>
      <c r="AG64">
        <v>187.524</v>
      </c>
      <c r="AH64">
        <v>140.322</v>
      </c>
      <c r="AK64">
        <v>65.632000000000005</v>
      </c>
      <c r="AL64">
        <v>66.203000000000003</v>
      </c>
      <c r="AM64">
        <v>139.316</v>
      </c>
      <c r="AN64">
        <v>148.21700000000001</v>
      </c>
      <c r="AO64">
        <v>142.78299999999999</v>
      </c>
    </row>
    <row r="65" spans="1:41" hidden="1">
      <c r="A65">
        <v>63</v>
      </c>
      <c r="B65">
        <v>114.625</v>
      </c>
      <c r="C65" s="1">
        <v>114.79899999999999</v>
      </c>
      <c r="D65" s="1">
        <v>115.04300000000001</v>
      </c>
      <c r="E65" s="1">
        <v>114.79</v>
      </c>
      <c r="F65" s="1">
        <v>114.202</v>
      </c>
      <c r="G65" s="1"/>
      <c r="I65">
        <v>116.991</v>
      </c>
      <c r="J65" s="1">
        <v>115.006</v>
      </c>
      <c r="K65" s="1">
        <v>137.71800000000002</v>
      </c>
      <c r="L65" s="1">
        <v>115.42399999999999</v>
      </c>
      <c r="M65" s="1">
        <v>115.336</v>
      </c>
      <c r="N65" s="1"/>
      <c r="P65">
        <v>115.851</v>
      </c>
      <c r="Q65" s="1">
        <v>120.03</v>
      </c>
      <c r="R65" s="1">
        <v>116.711</v>
      </c>
      <c r="S65" s="1">
        <v>116.914</v>
      </c>
      <c r="T65" s="1">
        <v>115.68</v>
      </c>
      <c r="U65" s="1"/>
      <c r="W65">
        <v>64.694000000000003</v>
      </c>
      <c r="X65">
        <v>63.954000000000001</v>
      </c>
      <c r="Y65">
        <v>140.316</v>
      </c>
      <c r="Z65">
        <v>152.58500000000001</v>
      </c>
      <c r="AA65">
        <v>144.93700000000001</v>
      </c>
      <c r="AD65">
        <v>63.927</v>
      </c>
      <c r="AE65">
        <v>64.933999999999997</v>
      </c>
      <c r="AF65">
        <v>140.679</v>
      </c>
      <c r="AG65">
        <v>217.685</v>
      </c>
      <c r="AH65">
        <v>144.06399999999999</v>
      </c>
      <c r="AK65">
        <v>65.153000000000006</v>
      </c>
      <c r="AL65">
        <v>66.284000000000006</v>
      </c>
      <c r="AM65">
        <v>167.244</v>
      </c>
      <c r="AN65">
        <v>148.393</v>
      </c>
      <c r="AO65">
        <v>141.59200000000001</v>
      </c>
    </row>
    <row r="66" spans="1:41" hidden="1">
      <c r="A66">
        <v>64</v>
      </c>
      <c r="B66">
        <v>115.429</v>
      </c>
      <c r="C66" s="1">
        <v>114.94500000000001</v>
      </c>
      <c r="D66" s="1">
        <v>115.36</v>
      </c>
      <c r="E66" s="1">
        <v>114.937</v>
      </c>
      <c r="F66" s="1">
        <v>115.479</v>
      </c>
      <c r="G66" s="1"/>
      <c r="H66" s="1"/>
      <c r="I66">
        <v>115.755</v>
      </c>
      <c r="J66" s="1">
        <v>114.723</v>
      </c>
      <c r="K66" s="1">
        <v>115.773</v>
      </c>
      <c r="L66" s="1">
        <v>115.958</v>
      </c>
      <c r="M66" s="1">
        <v>114.96299999999999</v>
      </c>
      <c r="N66" s="1"/>
      <c r="P66">
        <v>133.434</v>
      </c>
      <c r="Q66" s="1">
        <v>115.22699999999999</v>
      </c>
      <c r="R66" s="1">
        <v>116.551</v>
      </c>
      <c r="S66" s="1">
        <v>116.59</v>
      </c>
      <c r="T66" s="1">
        <v>115.16600000000001</v>
      </c>
      <c r="U66" s="1"/>
      <c r="W66">
        <v>66.03</v>
      </c>
      <c r="X66">
        <v>63.917000000000002</v>
      </c>
      <c r="Y66">
        <v>139.85</v>
      </c>
      <c r="Z66">
        <v>171.73699999999999</v>
      </c>
      <c r="AA66">
        <v>146.11600000000001</v>
      </c>
      <c r="AD66">
        <v>66.62</v>
      </c>
      <c r="AE66">
        <v>65.52</v>
      </c>
      <c r="AF66">
        <v>141.596</v>
      </c>
      <c r="AG66">
        <v>189.72399999999999</v>
      </c>
      <c r="AH66">
        <v>142.703</v>
      </c>
      <c r="AK66">
        <v>65.846000000000004</v>
      </c>
      <c r="AL66">
        <v>66.191999999999993</v>
      </c>
      <c r="AM66">
        <v>140.352</v>
      </c>
      <c r="AN66">
        <v>148.86000000000001</v>
      </c>
      <c r="AO66">
        <v>142.239</v>
      </c>
    </row>
    <row r="67" spans="1:41" hidden="1">
      <c r="A67">
        <v>65</v>
      </c>
      <c r="B67">
        <v>145.14400000000001</v>
      </c>
      <c r="C67" s="1">
        <v>115.176</v>
      </c>
      <c r="D67" s="1">
        <v>115.06399999999999</v>
      </c>
      <c r="E67" s="1">
        <v>115.66</v>
      </c>
      <c r="F67" s="1">
        <v>114.911</v>
      </c>
      <c r="G67" s="1"/>
      <c r="H67" s="1"/>
      <c r="I67">
        <v>114.81</v>
      </c>
      <c r="J67" s="1">
        <v>114.90899999999999</v>
      </c>
      <c r="K67" s="1">
        <v>115.63800000000001</v>
      </c>
      <c r="L67" s="1">
        <v>115.93</v>
      </c>
      <c r="M67" s="1">
        <v>114.78099999999999</v>
      </c>
      <c r="N67" s="1"/>
      <c r="P67">
        <v>116.538</v>
      </c>
      <c r="Q67" s="1">
        <v>116.09700000000001</v>
      </c>
      <c r="R67" s="1">
        <v>116.87400000000001</v>
      </c>
      <c r="S67" s="1">
        <v>116.30200000000001</v>
      </c>
      <c r="T67" s="1">
        <v>115.786</v>
      </c>
      <c r="W67">
        <v>64.253</v>
      </c>
      <c r="X67">
        <v>63.465000000000003</v>
      </c>
      <c r="Y67">
        <v>140.90899999999999</v>
      </c>
      <c r="Z67">
        <v>152.87799999999999</v>
      </c>
      <c r="AA67">
        <v>145.09299999999999</v>
      </c>
      <c r="AD67">
        <v>65.361999999999995</v>
      </c>
      <c r="AE67">
        <v>64.480999999999995</v>
      </c>
      <c r="AF67">
        <v>142.505</v>
      </c>
      <c r="AG67">
        <v>189.98599999999999</v>
      </c>
      <c r="AH67">
        <v>142.87100000000001</v>
      </c>
      <c r="AK67">
        <v>65.212000000000003</v>
      </c>
      <c r="AL67">
        <v>66.341999999999999</v>
      </c>
      <c r="AM67">
        <v>140.71799999999999</v>
      </c>
      <c r="AN67">
        <v>147.77799999999999</v>
      </c>
      <c r="AO67">
        <v>141.89500000000001</v>
      </c>
    </row>
    <row r="68" spans="1:41" hidden="1">
      <c r="A68">
        <v>66</v>
      </c>
      <c r="B68">
        <v>115.616</v>
      </c>
      <c r="C68" s="1">
        <v>115.937</v>
      </c>
      <c r="D68" s="1">
        <v>114.887</v>
      </c>
      <c r="E68" s="1">
        <v>116.09800000000001</v>
      </c>
      <c r="F68" s="1">
        <v>116.95700000000001</v>
      </c>
      <c r="G68" s="1"/>
      <c r="H68" s="1"/>
      <c r="I68">
        <v>115.121</v>
      </c>
      <c r="J68" s="1">
        <v>114.75700000000001</v>
      </c>
      <c r="K68" s="1">
        <v>116.352</v>
      </c>
      <c r="L68" s="1">
        <v>115.545</v>
      </c>
      <c r="M68" s="1">
        <v>115.075</v>
      </c>
      <c r="N68" s="1"/>
      <c r="P68">
        <v>115.855</v>
      </c>
      <c r="Q68" s="1">
        <v>134.82300000000001</v>
      </c>
      <c r="R68" s="1">
        <v>124.351</v>
      </c>
      <c r="S68" s="1">
        <v>116.803</v>
      </c>
      <c r="T68" s="1">
        <v>115.944</v>
      </c>
      <c r="U68" s="1"/>
      <c r="W68">
        <v>65.652000000000001</v>
      </c>
      <c r="X68">
        <v>63.587000000000003</v>
      </c>
      <c r="Y68">
        <v>139.214</v>
      </c>
      <c r="Z68">
        <v>145.50899999999999</v>
      </c>
      <c r="AA68">
        <v>145.07599999999999</v>
      </c>
      <c r="AD68">
        <v>65.191000000000003</v>
      </c>
      <c r="AE68">
        <v>83.852999999999994</v>
      </c>
      <c r="AF68">
        <v>151.04499999999999</v>
      </c>
      <c r="AG68">
        <v>189.56200000000001</v>
      </c>
      <c r="AH68">
        <v>140.68299999999999</v>
      </c>
      <c r="AK68">
        <v>68.850999999999999</v>
      </c>
      <c r="AL68">
        <v>66.061999999999998</v>
      </c>
      <c r="AM68">
        <v>141.15799999999999</v>
      </c>
      <c r="AN68">
        <v>148.17099999999999</v>
      </c>
      <c r="AO68">
        <v>142.06100000000001</v>
      </c>
    </row>
    <row r="69" spans="1:41" hidden="1">
      <c r="A69">
        <v>67</v>
      </c>
      <c r="B69">
        <v>115.498</v>
      </c>
      <c r="C69" s="1">
        <v>117.70899999999999</v>
      </c>
      <c r="D69" s="1">
        <v>115.80799999999999</v>
      </c>
      <c r="E69" s="1">
        <v>116.29299999999999</v>
      </c>
      <c r="F69" s="1">
        <v>117.15100000000001</v>
      </c>
      <c r="G69" s="1"/>
      <c r="H69" s="1"/>
      <c r="I69">
        <v>118.45699999999999</v>
      </c>
      <c r="J69" s="1">
        <v>115.76</v>
      </c>
      <c r="K69" s="1">
        <v>117.00099999999999</v>
      </c>
      <c r="L69" s="1">
        <v>116.084</v>
      </c>
      <c r="M69" s="1">
        <v>116.16500000000001</v>
      </c>
      <c r="N69" s="1"/>
      <c r="P69">
        <v>115.998</v>
      </c>
      <c r="Q69" s="1">
        <v>115.685</v>
      </c>
      <c r="R69" s="1">
        <v>116.29</v>
      </c>
      <c r="S69" s="1">
        <v>116.741</v>
      </c>
      <c r="T69" s="1">
        <v>115.79899999999999</v>
      </c>
      <c r="U69" s="1"/>
      <c r="W69">
        <v>64.460999999999999</v>
      </c>
      <c r="X69">
        <v>63.661999999999999</v>
      </c>
      <c r="Y69">
        <v>140.66499999999999</v>
      </c>
      <c r="Z69">
        <v>153.37</v>
      </c>
      <c r="AA69">
        <v>145.06800000000001</v>
      </c>
      <c r="AD69">
        <v>63.921999999999997</v>
      </c>
      <c r="AE69">
        <v>64.399000000000001</v>
      </c>
      <c r="AF69">
        <v>140.13</v>
      </c>
      <c r="AG69">
        <v>187.893</v>
      </c>
      <c r="AH69">
        <v>140.41800000000001</v>
      </c>
      <c r="AK69">
        <v>65.135000000000005</v>
      </c>
      <c r="AL69">
        <v>66.584999999999994</v>
      </c>
      <c r="AM69">
        <v>139.86699999999999</v>
      </c>
      <c r="AN69">
        <v>165.37299999999999</v>
      </c>
      <c r="AO69">
        <v>141.82499999999999</v>
      </c>
    </row>
    <row r="70" spans="1:41" hidden="1">
      <c r="A70">
        <v>68</v>
      </c>
      <c r="B70">
        <v>118.056</v>
      </c>
      <c r="C70" s="1">
        <v>116.44</v>
      </c>
      <c r="D70" s="1">
        <v>116.986</v>
      </c>
      <c r="E70" s="1">
        <v>116.185</v>
      </c>
      <c r="F70" s="1">
        <v>114.53099999999999</v>
      </c>
      <c r="G70" s="1"/>
      <c r="H70" s="1"/>
      <c r="I70">
        <v>115.38</v>
      </c>
      <c r="J70" s="1">
        <v>144.45099999999999</v>
      </c>
      <c r="K70" s="1">
        <v>115.80500000000001</v>
      </c>
      <c r="L70" s="1">
        <v>115.518</v>
      </c>
      <c r="M70" s="1">
        <v>115.51400000000001</v>
      </c>
      <c r="P70">
        <v>116.05200000000001</v>
      </c>
      <c r="Q70" s="1">
        <v>140.23099999999999</v>
      </c>
      <c r="R70" s="1">
        <v>116.396</v>
      </c>
      <c r="S70" s="1">
        <v>116.22399999999999</v>
      </c>
      <c r="T70" s="1">
        <v>115.922</v>
      </c>
      <c r="U70" s="1"/>
      <c r="W70">
        <v>64.195999999999998</v>
      </c>
      <c r="X70">
        <v>63.63</v>
      </c>
      <c r="Y70">
        <v>139.095</v>
      </c>
      <c r="Z70">
        <v>144.74</v>
      </c>
      <c r="AA70">
        <v>144.80600000000001</v>
      </c>
      <c r="AD70">
        <v>64.590999999999994</v>
      </c>
      <c r="AE70">
        <v>64.239000000000004</v>
      </c>
      <c r="AF70">
        <v>162.28899999999999</v>
      </c>
      <c r="AG70">
        <v>188.08099999999999</v>
      </c>
      <c r="AH70">
        <v>142.244</v>
      </c>
      <c r="AK70">
        <v>65.965999999999994</v>
      </c>
      <c r="AL70">
        <v>67.197999999999993</v>
      </c>
      <c r="AM70">
        <v>139.625</v>
      </c>
      <c r="AN70">
        <v>148.67599999999999</v>
      </c>
      <c r="AO70">
        <v>142.816</v>
      </c>
    </row>
    <row r="71" spans="1:41" hidden="1">
      <c r="A71">
        <v>69</v>
      </c>
      <c r="B71">
        <v>114.949</v>
      </c>
      <c r="C71" s="1">
        <v>139.471</v>
      </c>
      <c r="D71" s="1">
        <v>117.76599999999999</v>
      </c>
      <c r="E71" s="1">
        <v>116.50399999999999</v>
      </c>
      <c r="F71" s="1">
        <v>117.53099999999999</v>
      </c>
      <c r="G71" s="1"/>
      <c r="H71" s="1"/>
      <c r="I71">
        <v>116.71599999999999</v>
      </c>
      <c r="J71" s="1">
        <v>115.875</v>
      </c>
      <c r="K71" s="1">
        <v>115.72799999999999</v>
      </c>
      <c r="L71" s="1">
        <v>115.52999999999999</v>
      </c>
      <c r="M71" s="1">
        <v>115.214</v>
      </c>
      <c r="N71" s="1"/>
      <c r="P71">
        <v>115.69799999999999</v>
      </c>
      <c r="Q71" s="1">
        <v>121.22199999999999</v>
      </c>
      <c r="R71" s="1">
        <v>117.37</v>
      </c>
      <c r="S71" s="1">
        <v>116.62899999999999</v>
      </c>
      <c r="T71" s="1">
        <v>115.015</v>
      </c>
      <c r="U71" s="1"/>
      <c r="W71">
        <v>63.738999999999997</v>
      </c>
      <c r="X71">
        <v>85.197000000000003</v>
      </c>
      <c r="Y71">
        <v>141.471</v>
      </c>
      <c r="Z71">
        <v>152.79900000000001</v>
      </c>
      <c r="AA71">
        <v>144.52699999999999</v>
      </c>
      <c r="AD71">
        <v>64.495000000000005</v>
      </c>
      <c r="AE71">
        <v>64.186999999999998</v>
      </c>
      <c r="AF71">
        <v>139.49700000000001</v>
      </c>
      <c r="AG71">
        <v>188.804</v>
      </c>
      <c r="AH71">
        <v>141.33699999999999</v>
      </c>
      <c r="AK71">
        <v>65.183000000000007</v>
      </c>
      <c r="AL71">
        <v>66.39</v>
      </c>
      <c r="AM71">
        <v>139.93</v>
      </c>
      <c r="AN71">
        <v>149.24299999999999</v>
      </c>
      <c r="AO71">
        <v>146.02600000000001</v>
      </c>
    </row>
    <row r="72" spans="1:41" hidden="1">
      <c r="A72">
        <v>70</v>
      </c>
      <c r="B72">
        <v>116.929</v>
      </c>
      <c r="C72" s="1">
        <v>115.16600000000001</v>
      </c>
      <c r="D72" s="1">
        <v>117.316</v>
      </c>
      <c r="E72" s="1">
        <v>118.59100000000001</v>
      </c>
      <c r="F72" s="1">
        <v>116.09</v>
      </c>
      <c r="G72" s="1"/>
      <c r="I72">
        <v>115.363</v>
      </c>
      <c r="J72" s="1">
        <v>115.47799999999999</v>
      </c>
      <c r="K72" s="1">
        <v>115.92</v>
      </c>
      <c r="L72" s="1">
        <v>115.818</v>
      </c>
      <c r="M72" s="1">
        <v>115.08500000000001</v>
      </c>
      <c r="N72" s="1"/>
      <c r="P72">
        <v>116.163</v>
      </c>
      <c r="Q72" s="1">
        <v>115.95700000000001</v>
      </c>
      <c r="R72" s="1">
        <v>116.679</v>
      </c>
      <c r="S72" s="1">
        <v>116.059</v>
      </c>
      <c r="T72" s="1">
        <v>114.84099999999999</v>
      </c>
      <c r="U72" s="1"/>
      <c r="W72">
        <v>64.945999999999998</v>
      </c>
      <c r="X72">
        <v>64.105000000000004</v>
      </c>
      <c r="Y72">
        <v>139.72499999999999</v>
      </c>
      <c r="Z72">
        <v>145.69399999999999</v>
      </c>
      <c r="AA72">
        <v>144.934</v>
      </c>
      <c r="AD72">
        <v>64.274000000000001</v>
      </c>
      <c r="AE72">
        <v>64.334999999999994</v>
      </c>
      <c r="AF72">
        <v>142.08500000000001</v>
      </c>
      <c r="AG72">
        <v>189.267</v>
      </c>
      <c r="AH72">
        <v>139.98599999999999</v>
      </c>
      <c r="AK72">
        <v>65.784999999999997</v>
      </c>
      <c r="AL72">
        <v>66.563999999999993</v>
      </c>
      <c r="AM72">
        <v>140.876</v>
      </c>
      <c r="AN72">
        <v>148.65199999999999</v>
      </c>
      <c r="AO72">
        <v>142.06200000000001</v>
      </c>
    </row>
    <row r="73" spans="1:41" hidden="1">
      <c r="A73">
        <v>71</v>
      </c>
      <c r="B73">
        <v>116.07599999999999</v>
      </c>
      <c r="C73" s="1">
        <v>122.185</v>
      </c>
      <c r="D73" s="1">
        <v>116.69699999999999</v>
      </c>
      <c r="E73" s="1">
        <v>118.20899999999999</v>
      </c>
      <c r="F73" s="1">
        <v>115.187</v>
      </c>
      <c r="G73" s="1"/>
      <c r="H73" s="1"/>
      <c r="I73">
        <v>115.43600000000001</v>
      </c>
      <c r="J73" s="1">
        <v>114.88900000000001</v>
      </c>
      <c r="K73" s="1">
        <v>115.408</v>
      </c>
      <c r="L73" s="1">
        <v>115.48400000000001</v>
      </c>
      <c r="M73" s="1">
        <v>114.788</v>
      </c>
      <c r="N73" s="1"/>
      <c r="P73">
        <v>115.625</v>
      </c>
      <c r="Q73" s="1">
        <v>115.35</v>
      </c>
      <c r="R73" s="1">
        <v>116.017</v>
      </c>
      <c r="S73" s="1">
        <v>115.898</v>
      </c>
      <c r="T73" s="1">
        <v>115.47799999999999</v>
      </c>
      <c r="U73" s="1"/>
      <c r="W73">
        <v>64.488</v>
      </c>
      <c r="X73">
        <v>64.403000000000006</v>
      </c>
      <c r="Y73">
        <v>140.727</v>
      </c>
      <c r="Z73">
        <v>151.48500000000001</v>
      </c>
      <c r="AA73">
        <v>145.03800000000001</v>
      </c>
      <c r="AD73">
        <v>63.784999999999997</v>
      </c>
      <c r="AE73">
        <v>64</v>
      </c>
      <c r="AF73">
        <v>139.27500000000001</v>
      </c>
      <c r="AG73">
        <v>187.84</v>
      </c>
      <c r="AH73">
        <v>139.73699999999999</v>
      </c>
      <c r="AK73">
        <v>65.13</v>
      </c>
      <c r="AL73">
        <v>66.281999999999996</v>
      </c>
      <c r="AM73">
        <v>140.26</v>
      </c>
      <c r="AN73">
        <v>148.64500000000001</v>
      </c>
      <c r="AO73">
        <v>165.429</v>
      </c>
    </row>
    <row r="74" spans="1:41" hidden="1">
      <c r="A74">
        <v>72</v>
      </c>
      <c r="B74">
        <v>119.271</v>
      </c>
      <c r="C74" s="1">
        <v>119.767</v>
      </c>
      <c r="D74" s="1">
        <v>118.58</v>
      </c>
      <c r="E74" s="1">
        <v>120.65900000000001</v>
      </c>
      <c r="F74" s="1">
        <v>117.812</v>
      </c>
      <c r="G74" s="1"/>
      <c r="H74" s="1"/>
      <c r="I74">
        <v>115.42400000000001</v>
      </c>
      <c r="J74" s="1">
        <v>115.608</v>
      </c>
      <c r="K74" s="1">
        <v>136.75</v>
      </c>
      <c r="L74" s="1">
        <v>116.095</v>
      </c>
      <c r="M74" s="1">
        <v>115.27600000000001</v>
      </c>
      <c r="N74" s="1"/>
      <c r="P74">
        <v>115.58</v>
      </c>
      <c r="Q74" s="1">
        <v>115.878</v>
      </c>
      <c r="R74" s="1">
        <v>140.94200000000001</v>
      </c>
      <c r="S74" s="1">
        <v>116.042</v>
      </c>
      <c r="T74" s="1">
        <v>115.63500000000001</v>
      </c>
      <c r="U74" s="1"/>
      <c r="W74">
        <v>63.923000000000002</v>
      </c>
      <c r="X74">
        <v>63.475000000000001</v>
      </c>
      <c r="Y74">
        <v>139.589</v>
      </c>
      <c r="Z74">
        <v>145.34299999999999</v>
      </c>
      <c r="AA74">
        <v>145.08500000000001</v>
      </c>
      <c r="AD74">
        <v>64.725999999999999</v>
      </c>
      <c r="AE74">
        <v>65.602000000000004</v>
      </c>
      <c r="AF74">
        <v>169.648</v>
      </c>
      <c r="AG74">
        <v>187.791</v>
      </c>
      <c r="AH74">
        <v>140.96600000000001</v>
      </c>
      <c r="AK74">
        <v>65.784000000000006</v>
      </c>
      <c r="AL74">
        <v>68.486000000000004</v>
      </c>
      <c r="AM74">
        <v>140.905</v>
      </c>
      <c r="AN74">
        <v>148.095</v>
      </c>
      <c r="AO74">
        <v>141.90100000000001</v>
      </c>
    </row>
    <row r="75" spans="1:41" hidden="1">
      <c r="A75">
        <v>73</v>
      </c>
      <c r="B75">
        <v>118.083</v>
      </c>
      <c r="C75" s="1">
        <v>116.148</v>
      </c>
      <c r="D75" s="1">
        <v>146.226</v>
      </c>
      <c r="E75" s="1">
        <v>117.747</v>
      </c>
      <c r="F75" s="1">
        <v>119.61799999999999</v>
      </c>
      <c r="G75" s="1"/>
      <c r="H75" s="1"/>
      <c r="I75">
        <v>116.881</v>
      </c>
      <c r="J75" s="1">
        <v>114.94</v>
      </c>
      <c r="K75" s="1">
        <v>115.608</v>
      </c>
      <c r="L75" s="1">
        <v>115.11499999999999</v>
      </c>
      <c r="M75" s="1">
        <v>114.74900000000001</v>
      </c>
      <c r="N75" s="1"/>
      <c r="P75">
        <v>115.717</v>
      </c>
      <c r="Q75" s="1">
        <v>115.11399999999999</v>
      </c>
      <c r="R75" s="1">
        <v>116.339</v>
      </c>
      <c r="S75" s="1">
        <v>116.56</v>
      </c>
      <c r="T75" s="1">
        <v>115.621</v>
      </c>
      <c r="U75" s="1"/>
      <c r="W75">
        <v>63.823999999999998</v>
      </c>
      <c r="X75">
        <v>64.162999999999997</v>
      </c>
      <c r="Y75">
        <v>140.45699999999999</v>
      </c>
      <c r="Z75">
        <v>179.101</v>
      </c>
      <c r="AA75">
        <v>144.33600000000001</v>
      </c>
      <c r="AD75">
        <v>64.058999999999997</v>
      </c>
      <c r="AE75">
        <v>65.015000000000001</v>
      </c>
      <c r="AF75">
        <v>139.60599999999999</v>
      </c>
      <c r="AG75">
        <v>187.80799999999999</v>
      </c>
      <c r="AH75">
        <v>139.68</v>
      </c>
      <c r="AK75">
        <v>65.760000000000005</v>
      </c>
      <c r="AL75">
        <v>66.177000000000007</v>
      </c>
      <c r="AM75">
        <v>140.125</v>
      </c>
      <c r="AN75">
        <v>148.57499999999999</v>
      </c>
      <c r="AO75">
        <v>141.947</v>
      </c>
    </row>
    <row r="76" spans="1:41" hidden="1">
      <c r="A76">
        <v>74</v>
      </c>
      <c r="B76">
        <v>118.021</v>
      </c>
      <c r="C76" s="1">
        <v>116.46599999999999</v>
      </c>
      <c r="D76" s="1">
        <v>115.70700000000001</v>
      </c>
      <c r="E76" s="1">
        <v>117.794</v>
      </c>
      <c r="F76" s="1">
        <v>115.7</v>
      </c>
      <c r="G76" s="1"/>
      <c r="H76" s="1"/>
      <c r="I76">
        <v>116.616</v>
      </c>
      <c r="J76" s="1">
        <v>115.687</v>
      </c>
      <c r="K76" s="1">
        <v>115.84700000000001</v>
      </c>
      <c r="L76" s="1">
        <v>115.07599999999999</v>
      </c>
      <c r="M76" s="1">
        <v>119.664</v>
      </c>
      <c r="N76" s="1"/>
      <c r="P76">
        <v>116.047</v>
      </c>
      <c r="Q76" s="1">
        <v>115.45400000000001</v>
      </c>
      <c r="R76" s="1">
        <v>116.117</v>
      </c>
      <c r="S76" s="1">
        <v>116.18900000000001</v>
      </c>
      <c r="T76" s="1">
        <v>115.143</v>
      </c>
      <c r="U76" s="1"/>
      <c r="W76">
        <v>64.954999999999998</v>
      </c>
      <c r="X76">
        <v>63.256999999999998</v>
      </c>
      <c r="Y76">
        <v>139.233</v>
      </c>
      <c r="Z76">
        <v>146.00299999999999</v>
      </c>
      <c r="AA76">
        <v>145.08799999999999</v>
      </c>
      <c r="AD76">
        <v>64.753</v>
      </c>
      <c r="AE76">
        <v>64.227999999999994</v>
      </c>
      <c r="AF76">
        <v>141.9</v>
      </c>
      <c r="AG76">
        <v>187.809</v>
      </c>
      <c r="AH76">
        <v>141.26499999999999</v>
      </c>
      <c r="AK76">
        <v>65.734999999999999</v>
      </c>
      <c r="AL76">
        <v>66.221999999999994</v>
      </c>
      <c r="AM76">
        <v>140.49799999999999</v>
      </c>
      <c r="AN76">
        <v>148.077</v>
      </c>
      <c r="AO76">
        <v>142.38300000000001</v>
      </c>
    </row>
    <row r="77" spans="1:41" hidden="1">
      <c r="A77">
        <v>75</v>
      </c>
      <c r="B77">
        <v>119.416</v>
      </c>
      <c r="C77" s="1">
        <v>115.485</v>
      </c>
      <c r="D77" s="1">
        <v>116.715</v>
      </c>
      <c r="E77" s="1">
        <v>115.089</v>
      </c>
      <c r="F77" s="1">
        <v>114.645</v>
      </c>
      <c r="G77" s="1"/>
      <c r="H77" s="1"/>
      <c r="I77">
        <v>116.289</v>
      </c>
      <c r="J77" s="1">
        <v>115.40499999999999</v>
      </c>
      <c r="K77" s="1">
        <v>115.18299999999999</v>
      </c>
      <c r="L77" s="1">
        <v>115.46599999999999</v>
      </c>
      <c r="M77" s="1">
        <v>115.378</v>
      </c>
      <c r="N77" s="1"/>
      <c r="P77">
        <v>116.03700000000001</v>
      </c>
      <c r="Q77" s="1">
        <v>119.67800000000001</v>
      </c>
      <c r="R77" s="1">
        <v>117.16500000000001</v>
      </c>
      <c r="S77" s="1">
        <v>117.006</v>
      </c>
      <c r="T77" s="1">
        <v>115.27600000000001</v>
      </c>
      <c r="U77" s="1"/>
      <c r="W77">
        <v>63.61</v>
      </c>
      <c r="X77">
        <v>63.732999999999997</v>
      </c>
      <c r="Y77">
        <v>141.07599999999999</v>
      </c>
      <c r="Z77">
        <v>152.94999999999999</v>
      </c>
      <c r="AA77">
        <v>151.66300000000001</v>
      </c>
      <c r="AD77">
        <v>63.753999999999998</v>
      </c>
      <c r="AE77">
        <v>64.275000000000006</v>
      </c>
      <c r="AF77">
        <v>139.03899999999999</v>
      </c>
      <c r="AG77">
        <v>187.16</v>
      </c>
      <c r="AH77">
        <v>139.66499999999999</v>
      </c>
      <c r="AK77">
        <v>65.143000000000001</v>
      </c>
      <c r="AL77">
        <v>66.933000000000007</v>
      </c>
      <c r="AM77">
        <v>140.05600000000001</v>
      </c>
      <c r="AN77">
        <v>148.00299999999999</v>
      </c>
      <c r="AO77">
        <v>141.429</v>
      </c>
    </row>
    <row r="78" spans="1:41" hidden="1">
      <c r="A78">
        <v>76</v>
      </c>
      <c r="B78">
        <v>116.84699999999999</v>
      </c>
      <c r="C78" s="1">
        <v>115.16200000000001</v>
      </c>
      <c r="D78" s="1">
        <v>115.38500000000001</v>
      </c>
      <c r="E78" s="1">
        <v>115.251</v>
      </c>
      <c r="F78" s="1">
        <v>117.919</v>
      </c>
      <c r="G78" s="1"/>
      <c r="H78" s="1"/>
      <c r="I78">
        <v>116.17700000000001</v>
      </c>
      <c r="J78" s="1">
        <v>115.79</v>
      </c>
      <c r="K78" s="1">
        <v>116.068</v>
      </c>
      <c r="L78" s="1">
        <v>142.798</v>
      </c>
      <c r="M78" s="1">
        <v>115.58499999999999</v>
      </c>
      <c r="N78" s="1"/>
      <c r="P78">
        <v>116.461</v>
      </c>
      <c r="Q78" s="1">
        <v>115.595</v>
      </c>
      <c r="R78" s="1">
        <v>117.977</v>
      </c>
      <c r="S78" s="1">
        <v>141.94899999999998</v>
      </c>
      <c r="T78" s="1">
        <v>115.214</v>
      </c>
      <c r="U78" s="1"/>
      <c r="W78">
        <v>66.400999999999996</v>
      </c>
      <c r="X78">
        <v>64.623000000000005</v>
      </c>
      <c r="Y78">
        <v>140.179</v>
      </c>
      <c r="Z78">
        <v>145.71600000000001</v>
      </c>
      <c r="AA78">
        <v>144.77799999999999</v>
      </c>
      <c r="AD78">
        <v>63.947000000000003</v>
      </c>
      <c r="AE78">
        <v>64.111000000000004</v>
      </c>
      <c r="AF78">
        <v>140.74299999999999</v>
      </c>
      <c r="AG78">
        <v>215.506</v>
      </c>
      <c r="AH78">
        <v>139.614</v>
      </c>
      <c r="AK78">
        <v>65.688000000000002</v>
      </c>
      <c r="AL78">
        <v>65.936999999999998</v>
      </c>
      <c r="AM78">
        <v>157.89099999999999</v>
      </c>
      <c r="AN78">
        <v>147.82599999999999</v>
      </c>
      <c r="AO78">
        <v>141.977</v>
      </c>
    </row>
    <row r="79" spans="1:41" hidden="1">
      <c r="A79">
        <v>77</v>
      </c>
      <c r="B79">
        <v>116.048</v>
      </c>
      <c r="C79" s="1">
        <v>115.21900000000001</v>
      </c>
      <c r="D79" s="1">
        <v>115.036</v>
      </c>
      <c r="E79" s="1">
        <v>143.976</v>
      </c>
      <c r="F79" s="1">
        <v>115.06399999999999</v>
      </c>
      <c r="G79" s="1"/>
      <c r="H79" s="1"/>
      <c r="I79">
        <v>115.685</v>
      </c>
      <c r="J79" s="1">
        <v>115.19500000000001</v>
      </c>
      <c r="K79" s="1">
        <v>115.986</v>
      </c>
      <c r="L79" s="1">
        <v>116.521</v>
      </c>
      <c r="M79" s="1">
        <v>116.09800000000001</v>
      </c>
      <c r="N79" s="1"/>
      <c r="P79">
        <v>116.03100000000001</v>
      </c>
      <c r="Q79" s="1">
        <v>114.90599999999999</v>
      </c>
      <c r="R79" s="1">
        <v>116.12</v>
      </c>
      <c r="S79" s="1">
        <v>115.846</v>
      </c>
      <c r="T79" s="1">
        <v>115.04899999999999</v>
      </c>
      <c r="U79" s="1"/>
      <c r="W79">
        <v>64.302000000000007</v>
      </c>
      <c r="X79">
        <v>63.723999999999997</v>
      </c>
      <c r="Y79">
        <v>141.39599999999999</v>
      </c>
      <c r="Z79">
        <v>152.077</v>
      </c>
      <c r="AA79">
        <v>171.42099999999999</v>
      </c>
      <c r="AD79">
        <v>63.857999999999997</v>
      </c>
      <c r="AE79">
        <v>64.007000000000005</v>
      </c>
      <c r="AF79">
        <v>139.03200000000001</v>
      </c>
      <c r="AG79">
        <v>187.24100000000001</v>
      </c>
      <c r="AH79">
        <v>141.916</v>
      </c>
      <c r="AK79">
        <v>65.546999999999997</v>
      </c>
      <c r="AL79">
        <v>66.167000000000002</v>
      </c>
      <c r="AM79">
        <v>139.971</v>
      </c>
      <c r="AN79">
        <v>147.81800000000001</v>
      </c>
      <c r="AO79">
        <v>142.03100000000001</v>
      </c>
    </row>
    <row r="80" spans="1:41" hidden="1">
      <c r="A80">
        <v>78</v>
      </c>
      <c r="B80">
        <v>115.584</v>
      </c>
      <c r="C80" s="1">
        <v>116.98899999999999</v>
      </c>
      <c r="D80" s="1">
        <v>120.018</v>
      </c>
      <c r="E80" s="1">
        <v>117.79199999999999</v>
      </c>
      <c r="F80" s="1">
        <v>115.313</v>
      </c>
      <c r="G80" s="1"/>
      <c r="H80" s="1"/>
      <c r="I80">
        <v>115.702</v>
      </c>
      <c r="J80" s="1">
        <v>117.078</v>
      </c>
      <c r="K80" s="1">
        <v>116.55600000000001</v>
      </c>
      <c r="L80" s="1">
        <v>128.55700000000002</v>
      </c>
      <c r="M80" s="1">
        <v>115.39099999999999</v>
      </c>
      <c r="P80">
        <v>116.026</v>
      </c>
      <c r="Q80" s="1">
        <v>115.38</v>
      </c>
      <c r="R80" s="1">
        <v>115.715</v>
      </c>
      <c r="S80" s="1">
        <v>116.434</v>
      </c>
      <c r="T80" s="1">
        <v>115.54</v>
      </c>
      <c r="U80" s="1"/>
      <c r="W80">
        <v>63.822000000000003</v>
      </c>
      <c r="X80">
        <v>63.499000000000002</v>
      </c>
      <c r="Y80">
        <v>139.726</v>
      </c>
      <c r="Z80">
        <v>144.965</v>
      </c>
      <c r="AA80">
        <v>144.59</v>
      </c>
      <c r="AD80">
        <v>64.194000000000003</v>
      </c>
      <c r="AE80">
        <v>66.716999999999999</v>
      </c>
      <c r="AF80">
        <v>140.93600000000001</v>
      </c>
      <c r="AG80">
        <v>187.81299999999999</v>
      </c>
      <c r="AH80">
        <v>141.00200000000001</v>
      </c>
      <c r="AK80">
        <v>65.617999999999995</v>
      </c>
      <c r="AL80">
        <v>66.188000000000002</v>
      </c>
      <c r="AM80">
        <v>143.21100000000001</v>
      </c>
      <c r="AN80">
        <v>148.994</v>
      </c>
      <c r="AO80">
        <v>142.34100000000001</v>
      </c>
    </row>
    <row r="81" spans="1:41" hidden="1">
      <c r="A81">
        <v>79</v>
      </c>
      <c r="B81">
        <v>117.30800000000001</v>
      </c>
      <c r="C81" s="1">
        <v>116.142</v>
      </c>
      <c r="D81" s="1">
        <v>117.617</v>
      </c>
      <c r="E81" s="1">
        <v>116.663</v>
      </c>
      <c r="F81" s="1">
        <v>116.93299999999999</v>
      </c>
      <c r="G81" s="1"/>
      <c r="H81" s="1"/>
      <c r="I81">
        <v>118.06399999999999</v>
      </c>
      <c r="J81" s="1">
        <v>116.727</v>
      </c>
      <c r="K81" s="1">
        <v>115.821</v>
      </c>
      <c r="L81" s="1">
        <v>116.327</v>
      </c>
      <c r="M81" s="1">
        <v>116.532</v>
      </c>
      <c r="N81" s="1"/>
      <c r="P81">
        <v>116.30800000000001</v>
      </c>
      <c r="Q81" s="1">
        <v>115.407</v>
      </c>
      <c r="R81" s="1">
        <v>116.54599999999999</v>
      </c>
      <c r="S81" s="1">
        <v>116.559</v>
      </c>
      <c r="T81" s="1">
        <v>114.943</v>
      </c>
      <c r="U81" s="1"/>
      <c r="W81">
        <v>64.14</v>
      </c>
      <c r="X81">
        <v>63.298999999999999</v>
      </c>
      <c r="Y81">
        <v>141.453</v>
      </c>
      <c r="Z81">
        <v>151.77699999999999</v>
      </c>
      <c r="AA81">
        <v>144.50399999999999</v>
      </c>
      <c r="AD81">
        <v>64.481999999999999</v>
      </c>
      <c r="AE81">
        <v>64.198999999999998</v>
      </c>
      <c r="AF81">
        <v>138.916</v>
      </c>
      <c r="AG81">
        <v>188.376</v>
      </c>
      <c r="AH81">
        <v>140.50399999999999</v>
      </c>
      <c r="AK81">
        <v>65.272999999999996</v>
      </c>
      <c r="AL81">
        <v>66.44</v>
      </c>
      <c r="AM81">
        <v>140.55799999999999</v>
      </c>
      <c r="AN81">
        <v>148.23099999999999</v>
      </c>
      <c r="AO81">
        <v>141.749</v>
      </c>
    </row>
    <row r="82" spans="1:41" hidden="1">
      <c r="A82">
        <v>80</v>
      </c>
      <c r="B82">
        <v>117.91500000000001</v>
      </c>
      <c r="C82" s="1">
        <v>116.28099999999999</v>
      </c>
      <c r="D82" s="1">
        <v>116.91699999999999</v>
      </c>
      <c r="E82" s="1">
        <v>115.355</v>
      </c>
      <c r="F82" s="1">
        <v>115.357</v>
      </c>
      <c r="G82" s="1"/>
      <c r="I82">
        <v>115.90600000000001</v>
      </c>
      <c r="J82" s="1">
        <v>115.84800000000001</v>
      </c>
      <c r="K82" s="1">
        <v>115.47</v>
      </c>
      <c r="L82" s="1">
        <v>116.03700000000001</v>
      </c>
      <c r="M82" s="1">
        <v>115.17099999999999</v>
      </c>
      <c r="N82" s="1"/>
      <c r="P82">
        <v>115.363</v>
      </c>
      <c r="Q82" s="1">
        <v>114.91800000000001</v>
      </c>
      <c r="R82" s="1">
        <v>116.49299999999999</v>
      </c>
      <c r="S82" s="1">
        <v>117.223</v>
      </c>
      <c r="T82" s="1">
        <v>116.509</v>
      </c>
      <c r="U82" s="1"/>
      <c r="W82">
        <v>65.286000000000001</v>
      </c>
      <c r="X82">
        <v>63.872999999999998</v>
      </c>
      <c r="Y82">
        <v>138.97900000000001</v>
      </c>
      <c r="Z82">
        <v>145.27799999999999</v>
      </c>
      <c r="AA82">
        <v>144.58699999999999</v>
      </c>
      <c r="AD82">
        <v>64.082999999999998</v>
      </c>
      <c r="AE82">
        <v>63.917000000000002</v>
      </c>
      <c r="AF82">
        <v>140.71299999999999</v>
      </c>
      <c r="AG82">
        <v>215.34800000000001</v>
      </c>
      <c r="AH82">
        <v>140.345</v>
      </c>
      <c r="AK82">
        <v>65.635999999999996</v>
      </c>
      <c r="AL82">
        <v>66.415999999999997</v>
      </c>
      <c r="AM82">
        <v>143.04300000000001</v>
      </c>
      <c r="AN82">
        <v>184.19300000000001</v>
      </c>
      <c r="AO82">
        <v>175.52600000000001</v>
      </c>
    </row>
    <row r="83" spans="1:41" hidden="1">
      <c r="A83">
        <v>81</v>
      </c>
      <c r="B83">
        <v>117.48399999999999</v>
      </c>
      <c r="C83" s="1">
        <v>115.40300000000001</v>
      </c>
      <c r="D83" s="1">
        <v>115.46900000000001</v>
      </c>
      <c r="E83" s="1">
        <v>115.15499999999999</v>
      </c>
      <c r="F83" s="1">
        <v>139.64499999999998</v>
      </c>
      <c r="G83" s="1"/>
      <c r="H83" s="1"/>
      <c r="I83">
        <v>132.636</v>
      </c>
      <c r="J83" s="1">
        <v>115.645</v>
      </c>
      <c r="K83" s="1">
        <v>115.718</v>
      </c>
      <c r="L83" s="1">
        <v>115.562</v>
      </c>
      <c r="M83" s="1">
        <v>116.03</v>
      </c>
      <c r="P83">
        <v>138.715</v>
      </c>
      <c r="Q83" s="1">
        <v>116.58799999999999</v>
      </c>
      <c r="R83" s="1">
        <v>117.768</v>
      </c>
      <c r="S83" s="1">
        <v>116.29299999999999</v>
      </c>
      <c r="T83" s="1">
        <v>115.069</v>
      </c>
      <c r="U83" s="1"/>
      <c r="W83">
        <v>65.16</v>
      </c>
      <c r="X83">
        <v>63.893999999999998</v>
      </c>
      <c r="Y83">
        <v>140.59299999999999</v>
      </c>
      <c r="Z83">
        <v>151.78100000000001</v>
      </c>
      <c r="AA83">
        <v>144.547</v>
      </c>
      <c r="AD83">
        <v>63.582999999999998</v>
      </c>
      <c r="AE83">
        <v>64.072999999999993</v>
      </c>
      <c r="AF83">
        <v>139.16900000000001</v>
      </c>
      <c r="AG83">
        <v>188.83099999999999</v>
      </c>
      <c r="AH83">
        <v>141.375</v>
      </c>
      <c r="AK83">
        <v>65.522000000000006</v>
      </c>
      <c r="AL83">
        <v>66.289000000000001</v>
      </c>
      <c r="AM83">
        <v>140.024</v>
      </c>
      <c r="AN83">
        <v>147.649</v>
      </c>
      <c r="AO83">
        <v>142.63800000000001</v>
      </c>
    </row>
    <row r="84" spans="1:41" hidden="1">
      <c r="A84">
        <v>82</v>
      </c>
      <c r="B84">
        <v>119.22499999999999</v>
      </c>
      <c r="C84" s="1">
        <v>116.95400000000001</v>
      </c>
      <c r="D84" s="1">
        <v>117.65299999999999</v>
      </c>
      <c r="E84" s="1">
        <v>118.696</v>
      </c>
      <c r="F84" s="1">
        <v>115.375</v>
      </c>
      <c r="G84" s="1"/>
      <c r="H84" s="1"/>
      <c r="I84">
        <v>115.595</v>
      </c>
      <c r="J84" s="1">
        <v>114.926</v>
      </c>
      <c r="K84" s="1">
        <v>119.092</v>
      </c>
      <c r="L84" s="1">
        <v>119.384</v>
      </c>
      <c r="M84" s="1">
        <v>118.252</v>
      </c>
      <c r="N84" s="1"/>
      <c r="P84">
        <v>116.303</v>
      </c>
      <c r="Q84" s="1">
        <v>115.70400000000001</v>
      </c>
      <c r="R84" s="1">
        <v>116.086</v>
      </c>
      <c r="S84" s="1">
        <v>116.34</v>
      </c>
      <c r="T84" s="1">
        <v>115.173</v>
      </c>
      <c r="U84" s="1"/>
      <c r="W84">
        <v>63.703000000000003</v>
      </c>
      <c r="X84">
        <v>65.483999999999995</v>
      </c>
      <c r="Y84">
        <v>160.09</v>
      </c>
      <c r="Z84">
        <v>145.935</v>
      </c>
      <c r="AA84">
        <v>145.30799999999999</v>
      </c>
      <c r="AD84">
        <v>66.644000000000005</v>
      </c>
      <c r="AE84">
        <v>64.629000000000005</v>
      </c>
      <c r="AF84">
        <v>140.874</v>
      </c>
      <c r="AG84">
        <v>187.79599999999999</v>
      </c>
      <c r="AH84">
        <v>140.21600000000001</v>
      </c>
      <c r="AK84">
        <v>66.543999999999997</v>
      </c>
      <c r="AL84">
        <v>66.316000000000003</v>
      </c>
      <c r="AM84">
        <v>143.17400000000001</v>
      </c>
      <c r="AN84">
        <v>151.27099999999999</v>
      </c>
      <c r="AO84">
        <v>143.255</v>
      </c>
    </row>
    <row r="85" spans="1:41" hidden="1">
      <c r="A85">
        <v>83</v>
      </c>
      <c r="B85">
        <v>116.07</v>
      </c>
      <c r="C85" s="1">
        <v>114.917</v>
      </c>
      <c r="D85" s="1">
        <v>115.16999999999999</v>
      </c>
      <c r="E85" s="1">
        <v>117.31400000000001</v>
      </c>
      <c r="F85" s="1">
        <v>116.009</v>
      </c>
      <c r="G85" s="1"/>
      <c r="H85" s="1"/>
      <c r="I85">
        <v>119.14100000000001</v>
      </c>
      <c r="J85" s="1">
        <v>130.941</v>
      </c>
      <c r="K85" s="1">
        <v>123.086</v>
      </c>
      <c r="L85" s="1">
        <v>134.55900000000003</v>
      </c>
      <c r="M85" s="1">
        <v>128.80700000000002</v>
      </c>
      <c r="N85" s="1"/>
      <c r="P85">
        <v>115.741</v>
      </c>
      <c r="Q85" s="1">
        <v>115.265</v>
      </c>
      <c r="R85" s="1">
        <v>115.94500000000001</v>
      </c>
      <c r="S85" s="1">
        <v>115.90899999999999</v>
      </c>
      <c r="T85" s="1">
        <v>115.03700000000001</v>
      </c>
      <c r="U85" s="1"/>
      <c r="W85">
        <v>64.682000000000002</v>
      </c>
      <c r="X85">
        <v>63.503</v>
      </c>
      <c r="Y85">
        <v>141.874</v>
      </c>
      <c r="Z85">
        <v>154.46799999999999</v>
      </c>
      <c r="AA85">
        <v>144.50399999999999</v>
      </c>
      <c r="AD85">
        <v>63.88</v>
      </c>
      <c r="AE85">
        <v>64.396000000000001</v>
      </c>
      <c r="AF85">
        <v>139.148</v>
      </c>
      <c r="AG85">
        <v>189.19900000000001</v>
      </c>
      <c r="AH85">
        <v>140.148</v>
      </c>
      <c r="AK85">
        <v>65.515000000000001</v>
      </c>
      <c r="AL85">
        <v>66.308999999999997</v>
      </c>
      <c r="AM85">
        <v>140.441</v>
      </c>
      <c r="AN85">
        <v>148.22200000000001</v>
      </c>
      <c r="AO85">
        <v>142.44</v>
      </c>
    </row>
    <row r="86" spans="1:41" hidden="1">
      <c r="A86">
        <v>84</v>
      </c>
      <c r="B86">
        <v>117.396</v>
      </c>
      <c r="C86" s="1">
        <v>115.65899999999999</v>
      </c>
      <c r="D86" s="1">
        <v>115.895</v>
      </c>
      <c r="E86" s="1">
        <v>115.458</v>
      </c>
      <c r="F86" s="1">
        <v>114.58500000000001</v>
      </c>
      <c r="G86" s="1"/>
      <c r="H86" s="1"/>
      <c r="I86">
        <v>133.161</v>
      </c>
      <c r="J86" s="1">
        <v>125.83500000000001</v>
      </c>
      <c r="K86" s="1">
        <v>129.68899999999999</v>
      </c>
      <c r="L86" s="1">
        <v>129.751</v>
      </c>
      <c r="M86" s="1">
        <v>118.172</v>
      </c>
      <c r="N86" s="1"/>
      <c r="P86">
        <v>116.535</v>
      </c>
      <c r="Q86" s="1">
        <v>115.37899999999999</v>
      </c>
      <c r="R86" s="1">
        <v>115.83699999999999</v>
      </c>
      <c r="S86" s="1">
        <v>116.108</v>
      </c>
      <c r="T86" s="1">
        <v>115.226</v>
      </c>
      <c r="U86" s="1"/>
      <c r="W86">
        <v>69.876000000000005</v>
      </c>
      <c r="X86">
        <v>63.784999999999997</v>
      </c>
      <c r="Y86">
        <v>138.97</v>
      </c>
      <c r="Z86">
        <v>145.62100000000001</v>
      </c>
      <c r="AA86">
        <v>144.67099999999999</v>
      </c>
      <c r="AD86">
        <v>64.572999999999993</v>
      </c>
      <c r="AE86">
        <v>64.58</v>
      </c>
      <c r="AF86">
        <v>140.995</v>
      </c>
      <c r="AG86">
        <v>213.53</v>
      </c>
      <c r="AH86">
        <v>140.58199999999999</v>
      </c>
      <c r="AK86">
        <v>66.037999999999997</v>
      </c>
      <c r="AL86">
        <v>66.248999999999995</v>
      </c>
      <c r="AM86">
        <v>141.94399999999999</v>
      </c>
      <c r="AN86">
        <v>148.143</v>
      </c>
      <c r="AO86">
        <v>167.92400000000001</v>
      </c>
    </row>
    <row r="87" spans="1:41" hidden="1">
      <c r="A87">
        <v>85</v>
      </c>
      <c r="B87">
        <v>119.92100000000001</v>
      </c>
      <c r="C87" s="1">
        <v>115.72499999999999</v>
      </c>
      <c r="D87" s="1">
        <v>115.56099999999999</v>
      </c>
      <c r="E87" s="1">
        <v>116.652</v>
      </c>
      <c r="F87" s="1">
        <v>115.369</v>
      </c>
      <c r="G87" s="1"/>
      <c r="H87" s="1"/>
      <c r="I87">
        <v>147.434</v>
      </c>
      <c r="J87" s="1">
        <v>115.07299999999999</v>
      </c>
      <c r="K87" s="1">
        <v>115.86</v>
      </c>
      <c r="L87" s="1">
        <v>116.806</v>
      </c>
      <c r="M87" s="1">
        <v>115.453</v>
      </c>
      <c r="N87" s="1"/>
      <c r="P87">
        <v>115.58799999999999</v>
      </c>
      <c r="Q87" s="1">
        <v>138.29499999999999</v>
      </c>
      <c r="R87" s="1">
        <v>116.98899999999999</v>
      </c>
      <c r="S87" s="1">
        <v>116.717</v>
      </c>
      <c r="T87" s="1">
        <v>115.319</v>
      </c>
      <c r="U87" s="1"/>
      <c r="W87">
        <v>65.647000000000006</v>
      </c>
      <c r="X87">
        <v>63.515999999999998</v>
      </c>
      <c r="Y87">
        <v>140.92699999999999</v>
      </c>
      <c r="Z87">
        <v>152.34299999999999</v>
      </c>
      <c r="AA87">
        <v>144.797</v>
      </c>
      <c r="AD87">
        <v>63.866</v>
      </c>
      <c r="AE87">
        <v>64.091999999999999</v>
      </c>
      <c r="AF87">
        <v>141.08199999999999</v>
      </c>
      <c r="AG87">
        <v>187.92699999999999</v>
      </c>
      <c r="AH87">
        <v>139.96</v>
      </c>
      <c r="AK87">
        <v>65.010000000000005</v>
      </c>
      <c r="AL87">
        <v>66.272000000000006</v>
      </c>
      <c r="AM87">
        <v>140.399</v>
      </c>
      <c r="AN87">
        <v>148.69499999999999</v>
      </c>
      <c r="AO87">
        <v>142.018</v>
      </c>
    </row>
    <row r="88" spans="1:41" hidden="1">
      <c r="A88">
        <v>86</v>
      </c>
      <c r="B88">
        <v>150.25399999999999</v>
      </c>
      <c r="C88" s="1">
        <v>114.926</v>
      </c>
      <c r="D88" s="1">
        <v>115.44200000000001</v>
      </c>
      <c r="E88" s="1">
        <v>115.21299999999999</v>
      </c>
      <c r="F88" s="1">
        <v>115.636</v>
      </c>
      <c r="G88" s="1"/>
      <c r="H88" s="1"/>
      <c r="I88">
        <v>116.12</v>
      </c>
      <c r="J88" s="1">
        <v>115.70700000000001</v>
      </c>
      <c r="K88" s="1">
        <v>115.85199999999999</v>
      </c>
      <c r="L88" s="1">
        <v>115.691</v>
      </c>
      <c r="M88" s="1">
        <v>115.72300000000001</v>
      </c>
      <c r="N88" s="1"/>
      <c r="P88">
        <v>116.203</v>
      </c>
      <c r="Q88" s="1">
        <v>115.867</v>
      </c>
      <c r="R88" s="1">
        <v>116.242</v>
      </c>
      <c r="S88" s="1">
        <v>116.238</v>
      </c>
      <c r="T88" s="1">
        <v>114.79899999999999</v>
      </c>
      <c r="U88" s="1"/>
      <c r="W88">
        <v>65.171000000000006</v>
      </c>
      <c r="X88">
        <v>63.572000000000003</v>
      </c>
      <c r="Y88">
        <v>141.006</v>
      </c>
      <c r="Z88">
        <v>171.834</v>
      </c>
      <c r="AA88">
        <v>144.75299999999999</v>
      </c>
      <c r="AD88">
        <v>64.361000000000004</v>
      </c>
      <c r="AE88">
        <v>64.561999999999998</v>
      </c>
      <c r="AF88">
        <v>141.75399999999999</v>
      </c>
      <c r="AG88">
        <v>187.50200000000001</v>
      </c>
      <c r="AH88">
        <v>139.84</v>
      </c>
      <c r="AK88">
        <v>65.748999999999995</v>
      </c>
      <c r="AL88">
        <v>66.593000000000004</v>
      </c>
      <c r="AM88">
        <v>140.56299999999999</v>
      </c>
      <c r="AN88">
        <v>148.03399999999999</v>
      </c>
      <c r="AO88">
        <v>142.26499999999999</v>
      </c>
    </row>
    <row r="89" spans="1:41" hidden="1">
      <c r="A89">
        <v>87</v>
      </c>
      <c r="B89">
        <v>118.148</v>
      </c>
      <c r="C89" s="1">
        <v>116.23400000000001</v>
      </c>
      <c r="D89" s="1">
        <v>117.37599999999999</v>
      </c>
      <c r="E89" s="1">
        <v>116.634</v>
      </c>
      <c r="F89" s="1">
        <v>114.98099999999999</v>
      </c>
      <c r="G89" s="1"/>
      <c r="H89" s="1"/>
      <c r="I89">
        <v>115.39100000000001</v>
      </c>
      <c r="J89" s="1">
        <v>115.486</v>
      </c>
      <c r="K89" s="1">
        <v>115.884</v>
      </c>
      <c r="L89" s="1">
        <v>116.812</v>
      </c>
      <c r="M89" s="1">
        <v>115.435</v>
      </c>
      <c r="N89" s="1"/>
      <c r="P89">
        <v>117.42</v>
      </c>
      <c r="Q89" s="1">
        <v>116.77</v>
      </c>
      <c r="R89" s="1">
        <v>116.45800000000001</v>
      </c>
      <c r="S89" s="1">
        <v>116.42099999999999</v>
      </c>
      <c r="T89" s="1">
        <v>114.708</v>
      </c>
      <c r="U89" s="1"/>
      <c r="W89">
        <v>65.055999999999997</v>
      </c>
      <c r="X89">
        <v>63.7</v>
      </c>
      <c r="Y89">
        <v>140.988</v>
      </c>
      <c r="Z89">
        <v>152.523</v>
      </c>
      <c r="AA89">
        <v>144.965</v>
      </c>
      <c r="AD89">
        <v>64.679000000000002</v>
      </c>
      <c r="AE89">
        <v>63.933999999999997</v>
      </c>
      <c r="AF89">
        <v>139.38999999999999</v>
      </c>
      <c r="AG89">
        <v>187.25700000000001</v>
      </c>
      <c r="AH89">
        <v>140.55799999999999</v>
      </c>
      <c r="AK89">
        <v>65.025999999999996</v>
      </c>
      <c r="AL89">
        <v>66.180000000000007</v>
      </c>
      <c r="AM89">
        <v>140.84299999999999</v>
      </c>
      <c r="AN89">
        <v>148.166</v>
      </c>
      <c r="AO89">
        <v>142.285</v>
      </c>
    </row>
    <row r="90" spans="1:41" hidden="1">
      <c r="A90">
        <v>88</v>
      </c>
      <c r="B90">
        <v>115.822</v>
      </c>
      <c r="C90" s="1">
        <v>114.398</v>
      </c>
      <c r="D90" s="1">
        <v>114.869</v>
      </c>
      <c r="E90" s="1">
        <v>115.203</v>
      </c>
      <c r="F90" s="1">
        <v>114.938</v>
      </c>
      <c r="G90" s="1"/>
      <c r="H90" s="1"/>
      <c r="I90">
        <v>116.125</v>
      </c>
      <c r="J90" s="1">
        <v>115.49</v>
      </c>
      <c r="K90" s="1">
        <v>116.50700000000001</v>
      </c>
      <c r="L90" s="1">
        <v>115.88500000000001</v>
      </c>
      <c r="M90" s="1">
        <v>114.85199999999999</v>
      </c>
      <c r="P90">
        <v>116.065</v>
      </c>
      <c r="Q90" s="1">
        <v>115.33</v>
      </c>
      <c r="R90" s="1">
        <v>116.107</v>
      </c>
      <c r="S90" s="1">
        <v>116.08699999999999</v>
      </c>
      <c r="T90" s="1">
        <v>115.373</v>
      </c>
      <c r="U90" s="1"/>
      <c r="W90">
        <v>65.484999999999999</v>
      </c>
      <c r="X90">
        <v>63.707999999999998</v>
      </c>
      <c r="Y90">
        <v>139.46600000000001</v>
      </c>
      <c r="Z90">
        <v>146.63900000000001</v>
      </c>
      <c r="AA90">
        <v>145.46600000000001</v>
      </c>
      <c r="AD90">
        <v>64.164000000000001</v>
      </c>
      <c r="AE90">
        <v>64.42</v>
      </c>
      <c r="AF90">
        <v>141.041</v>
      </c>
      <c r="AG90">
        <v>189.06299999999999</v>
      </c>
      <c r="AH90">
        <v>158.18600000000001</v>
      </c>
      <c r="AK90">
        <v>65.801000000000002</v>
      </c>
      <c r="AL90">
        <v>66.474000000000004</v>
      </c>
      <c r="AM90">
        <v>140.04300000000001</v>
      </c>
      <c r="AN90">
        <v>148.101</v>
      </c>
      <c r="AO90">
        <v>142.24299999999999</v>
      </c>
    </row>
    <row r="91" spans="1:41" hidden="1">
      <c r="A91">
        <v>89</v>
      </c>
      <c r="B91">
        <v>116.02200000000001</v>
      </c>
      <c r="C91" s="1">
        <v>114.71299999999999</v>
      </c>
      <c r="D91" s="1">
        <v>114.599</v>
      </c>
      <c r="E91" s="1">
        <v>114.92099999999999</v>
      </c>
      <c r="F91" s="1">
        <v>114.42700000000001</v>
      </c>
      <c r="G91" s="1"/>
      <c r="H91" s="1"/>
      <c r="I91">
        <v>115.467</v>
      </c>
      <c r="J91" s="1">
        <v>133.93600000000001</v>
      </c>
      <c r="K91" s="1">
        <v>117.946</v>
      </c>
      <c r="L91" s="1">
        <v>115.35199999999999</v>
      </c>
      <c r="M91" s="1">
        <v>115.092</v>
      </c>
      <c r="N91" s="1"/>
      <c r="P91">
        <v>116.20099999999999</v>
      </c>
      <c r="Q91" s="1">
        <v>115.548</v>
      </c>
      <c r="R91" s="1">
        <v>142.499</v>
      </c>
      <c r="S91" s="1">
        <v>116.863</v>
      </c>
      <c r="T91" s="1">
        <v>115.83499999999999</v>
      </c>
      <c r="U91" s="1"/>
      <c r="W91">
        <v>64.97</v>
      </c>
      <c r="X91">
        <v>63.947000000000003</v>
      </c>
      <c r="Y91">
        <v>141.42599999999999</v>
      </c>
      <c r="Z91">
        <v>152.65899999999999</v>
      </c>
      <c r="AA91">
        <v>146.215</v>
      </c>
      <c r="AD91">
        <v>64.128</v>
      </c>
      <c r="AE91">
        <v>64.167000000000002</v>
      </c>
      <c r="AF91">
        <v>141.654</v>
      </c>
      <c r="AG91">
        <v>188.381</v>
      </c>
      <c r="AH91">
        <v>140.52099999999999</v>
      </c>
      <c r="AK91">
        <v>65.094999999999999</v>
      </c>
      <c r="AL91">
        <v>66.715999999999994</v>
      </c>
      <c r="AM91">
        <v>156.15700000000001</v>
      </c>
      <c r="AN91">
        <v>148.46100000000001</v>
      </c>
      <c r="AO91">
        <v>141.98500000000001</v>
      </c>
    </row>
    <row r="92" spans="1:41">
      <c r="A92">
        <v>90</v>
      </c>
      <c r="B92">
        <v>117.265</v>
      </c>
      <c r="C92" s="1">
        <v>115.32599999999999</v>
      </c>
      <c r="D92" s="1">
        <v>116.13</v>
      </c>
      <c r="E92" s="1">
        <v>115.006</v>
      </c>
      <c r="F92" s="1">
        <v>140.53199999999998</v>
      </c>
      <c r="G92" s="1"/>
      <c r="H92" s="1"/>
      <c r="I92">
        <v>115.80500000000001</v>
      </c>
      <c r="J92" s="1">
        <v>115.774</v>
      </c>
      <c r="K92" s="1">
        <v>115.48</v>
      </c>
      <c r="L92" s="1">
        <v>115.789</v>
      </c>
      <c r="M92" s="1">
        <v>117.08200000000001</v>
      </c>
      <c r="N92" s="1"/>
      <c r="P92">
        <v>116.113</v>
      </c>
      <c r="Q92" s="1">
        <v>116.01100000000001</v>
      </c>
      <c r="R92" s="1">
        <v>116.005</v>
      </c>
      <c r="S92" s="1">
        <v>116.857</v>
      </c>
      <c r="T92" s="1">
        <v>115.2</v>
      </c>
      <c r="U92" s="1"/>
      <c r="W92">
        <v>63.856000000000002</v>
      </c>
      <c r="X92">
        <v>63.557000000000002</v>
      </c>
      <c r="Y92">
        <v>140.04300000000001</v>
      </c>
      <c r="Z92">
        <v>145.44499999999999</v>
      </c>
      <c r="AA92">
        <v>144.96899999999999</v>
      </c>
      <c r="AD92">
        <v>64.768000000000001</v>
      </c>
      <c r="AE92">
        <v>64.090999999999994</v>
      </c>
      <c r="AF92">
        <v>141.36500000000001</v>
      </c>
      <c r="AG92">
        <v>187.501</v>
      </c>
      <c r="AH92">
        <v>140.06200000000001</v>
      </c>
      <c r="AK92">
        <v>66.031999999999996</v>
      </c>
      <c r="AL92">
        <v>66.489000000000004</v>
      </c>
      <c r="AM92">
        <v>139.614</v>
      </c>
      <c r="AN92">
        <v>149.72800000000001</v>
      </c>
      <c r="AO92">
        <v>142.44800000000001</v>
      </c>
    </row>
    <row r="93" spans="1:41">
      <c r="A93">
        <v>91</v>
      </c>
      <c r="B93">
        <v>119.48099999999999</v>
      </c>
      <c r="C93" s="1">
        <v>114.97799999999999</v>
      </c>
      <c r="D93" s="1">
        <v>114.959</v>
      </c>
      <c r="E93" s="1">
        <v>114.621</v>
      </c>
      <c r="F93" s="1">
        <v>114.735</v>
      </c>
      <c r="G93" s="1"/>
      <c r="H93" s="1"/>
      <c r="I93">
        <v>117.291</v>
      </c>
      <c r="J93" s="1">
        <v>115.55200000000001</v>
      </c>
      <c r="K93" s="1">
        <v>116.06</v>
      </c>
      <c r="L93" s="1">
        <v>116.93599999999999</v>
      </c>
      <c r="M93" s="1">
        <v>116.23099999999999</v>
      </c>
      <c r="P93">
        <v>115.89100000000001</v>
      </c>
      <c r="Q93" s="1">
        <v>115.72699999999999</v>
      </c>
      <c r="R93" s="1">
        <v>116.27800000000001</v>
      </c>
      <c r="S93" s="1">
        <v>116.089</v>
      </c>
      <c r="T93" s="1">
        <v>114.92099999999999</v>
      </c>
      <c r="W93">
        <v>99.171000000000006</v>
      </c>
      <c r="X93">
        <v>64.274000000000001</v>
      </c>
      <c r="Y93">
        <v>140.54499999999999</v>
      </c>
      <c r="Z93">
        <v>152.16999999999999</v>
      </c>
      <c r="AA93">
        <v>144.46799999999999</v>
      </c>
      <c r="AD93">
        <v>63.847999999999999</v>
      </c>
      <c r="AE93">
        <v>64.058000000000007</v>
      </c>
      <c r="AF93">
        <v>139.334</v>
      </c>
      <c r="AG93">
        <v>187.68899999999999</v>
      </c>
      <c r="AH93">
        <v>140.35900000000001</v>
      </c>
      <c r="AK93">
        <v>65.384</v>
      </c>
      <c r="AL93">
        <v>66.957999999999998</v>
      </c>
      <c r="AM93">
        <v>140.203</v>
      </c>
      <c r="AN93">
        <v>147.721</v>
      </c>
      <c r="AO93">
        <v>141.703</v>
      </c>
    </row>
    <row r="94" spans="1:41">
      <c r="A94">
        <v>92</v>
      </c>
      <c r="B94">
        <v>118.711</v>
      </c>
      <c r="C94" s="1">
        <v>115.11499999999999</v>
      </c>
      <c r="D94" s="1">
        <v>115.777</v>
      </c>
      <c r="E94" s="1">
        <v>114.63900000000001</v>
      </c>
      <c r="F94" s="1">
        <v>115.50399999999999</v>
      </c>
      <c r="G94" s="1"/>
      <c r="I94">
        <v>115.84</v>
      </c>
      <c r="J94" s="1">
        <v>114.92399999999999</v>
      </c>
      <c r="K94" s="1">
        <v>116.01599999999999</v>
      </c>
      <c r="L94" s="1">
        <v>116.105</v>
      </c>
      <c r="M94" s="1">
        <v>115.44799999999999</v>
      </c>
      <c r="N94" s="1"/>
      <c r="P94">
        <v>115.19</v>
      </c>
      <c r="Q94" s="1">
        <v>115.461</v>
      </c>
      <c r="R94" s="1">
        <v>116.96599999999999</v>
      </c>
      <c r="S94" s="1">
        <v>116.244</v>
      </c>
      <c r="T94" s="1">
        <v>115.846</v>
      </c>
      <c r="U94" s="1"/>
      <c r="W94">
        <v>64.394999999999996</v>
      </c>
      <c r="X94">
        <v>63.564</v>
      </c>
      <c r="Y94">
        <v>139.12100000000001</v>
      </c>
      <c r="Z94">
        <v>145.18600000000001</v>
      </c>
      <c r="AA94">
        <v>145.31800000000001</v>
      </c>
      <c r="AD94">
        <v>64.629000000000005</v>
      </c>
      <c r="AE94">
        <v>64.185000000000002</v>
      </c>
      <c r="AF94">
        <v>140.78800000000001</v>
      </c>
      <c r="AG94">
        <v>187.89099999999999</v>
      </c>
      <c r="AH94">
        <v>158.09200000000001</v>
      </c>
      <c r="AK94">
        <v>65.656999999999996</v>
      </c>
      <c r="AL94">
        <v>66.468000000000004</v>
      </c>
      <c r="AM94">
        <v>140.625</v>
      </c>
      <c r="AN94">
        <v>148.523</v>
      </c>
      <c r="AO94">
        <v>142.494</v>
      </c>
    </row>
    <row r="95" spans="1:41">
      <c r="A95">
        <v>93</v>
      </c>
      <c r="B95">
        <v>116.611</v>
      </c>
      <c r="C95" s="1">
        <v>114.67099999999999</v>
      </c>
      <c r="D95" s="1">
        <v>115.05</v>
      </c>
      <c r="E95" s="1">
        <v>115.158</v>
      </c>
      <c r="F95" s="1">
        <v>115.149</v>
      </c>
      <c r="G95" s="1"/>
      <c r="H95" s="1"/>
      <c r="I95">
        <v>115.34099999999999</v>
      </c>
      <c r="J95" s="1">
        <v>116.271</v>
      </c>
      <c r="K95" s="1">
        <v>115.89</v>
      </c>
      <c r="L95" s="1">
        <v>143.483</v>
      </c>
      <c r="M95" s="1">
        <v>117.169</v>
      </c>
      <c r="N95" s="1"/>
      <c r="P95">
        <v>118.60299999999999</v>
      </c>
      <c r="Q95" s="1">
        <v>115.93599999999999</v>
      </c>
      <c r="R95" s="1">
        <v>116.97399999999999</v>
      </c>
      <c r="S95" s="1">
        <v>116.155</v>
      </c>
      <c r="T95" s="1">
        <v>115.07000000000001</v>
      </c>
      <c r="W95">
        <v>64.066999999999993</v>
      </c>
      <c r="X95">
        <v>64.363</v>
      </c>
      <c r="Y95">
        <v>141.00200000000001</v>
      </c>
      <c r="Z95">
        <v>151.60900000000001</v>
      </c>
      <c r="AA95">
        <v>146.44399999999999</v>
      </c>
      <c r="AD95">
        <v>64.022000000000006</v>
      </c>
      <c r="AE95">
        <v>67.947999999999993</v>
      </c>
      <c r="AF95">
        <v>139.58199999999999</v>
      </c>
      <c r="AG95">
        <v>189.86699999999999</v>
      </c>
      <c r="AH95">
        <v>140.161</v>
      </c>
      <c r="AK95">
        <v>64.942999999999998</v>
      </c>
      <c r="AL95">
        <v>66.162999999999997</v>
      </c>
      <c r="AM95">
        <v>139.53</v>
      </c>
      <c r="AN95">
        <v>164.91300000000001</v>
      </c>
      <c r="AO95">
        <v>141.708</v>
      </c>
    </row>
    <row r="96" spans="1:41">
      <c r="A96">
        <v>94</v>
      </c>
      <c r="B96">
        <v>115.482</v>
      </c>
      <c r="C96" s="1">
        <v>115.72300000000001</v>
      </c>
      <c r="D96" s="1">
        <v>114.758</v>
      </c>
      <c r="E96" s="1">
        <v>115.057</v>
      </c>
      <c r="F96" s="1">
        <v>114.961</v>
      </c>
      <c r="G96" s="1"/>
      <c r="H96" s="1"/>
      <c r="I96">
        <v>119.886</v>
      </c>
      <c r="J96" s="1">
        <v>126.00200000000001</v>
      </c>
      <c r="K96" s="1">
        <v>117.565</v>
      </c>
      <c r="L96" s="1">
        <v>115.756</v>
      </c>
      <c r="M96" s="1">
        <v>116.184</v>
      </c>
      <c r="N96" s="1"/>
      <c r="P96">
        <v>115.645</v>
      </c>
      <c r="Q96" s="1">
        <v>137.99700000000001</v>
      </c>
      <c r="R96" s="1">
        <v>116.102</v>
      </c>
      <c r="S96" s="1">
        <v>116.565</v>
      </c>
      <c r="T96" s="1">
        <v>115.145</v>
      </c>
      <c r="U96" s="1"/>
      <c r="W96">
        <v>64.007999999999996</v>
      </c>
      <c r="X96">
        <v>64.126000000000005</v>
      </c>
      <c r="Y96">
        <v>140.59100000000001</v>
      </c>
      <c r="Z96">
        <v>145.16300000000001</v>
      </c>
      <c r="AA96">
        <v>145.476</v>
      </c>
      <c r="AD96">
        <v>64.307000000000002</v>
      </c>
      <c r="AE96">
        <v>64.256</v>
      </c>
      <c r="AF96">
        <v>140.59800000000001</v>
      </c>
      <c r="AG96">
        <v>187.66399999999999</v>
      </c>
      <c r="AH96">
        <v>140.249</v>
      </c>
      <c r="AK96">
        <v>65.591999999999999</v>
      </c>
      <c r="AL96">
        <v>66.727000000000004</v>
      </c>
      <c r="AM96">
        <v>141.863</v>
      </c>
      <c r="AN96">
        <v>148.166</v>
      </c>
      <c r="AO96">
        <v>142.363</v>
      </c>
    </row>
    <row r="97" spans="1:41">
      <c r="A97">
        <v>95</v>
      </c>
      <c r="B97">
        <v>143.82300000000001</v>
      </c>
      <c r="C97" s="1">
        <v>115.43899999999999</v>
      </c>
      <c r="D97" s="1">
        <v>115.053</v>
      </c>
      <c r="E97" s="1">
        <v>115.80699999999999</v>
      </c>
      <c r="F97" s="1">
        <v>115.25700000000001</v>
      </c>
      <c r="G97" s="1"/>
      <c r="H97" s="1"/>
      <c r="I97">
        <v>115.336</v>
      </c>
      <c r="J97" s="1">
        <v>116.652</v>
      </c>
      <c r="K97" s="1">
        <v>115.846</v>
      </c>
      <c r="L97" s="1">
        <v>115.72399999999999</v>
      </c>
      <c r="M97" s="1">
        <v>115.20400000000001</v>
      </c>
      <c r="N97" s="1"/>
      <c r="P97">
        <v>116.142</v>
      </c>
      <c r="Q97" s="1">
        <v>115.429</v>
      </c>
      <c r="R97" s="1">
        <v>116.035</v>
      </c>
      <c r="S97" s="1">
        <v>116.12</v>
      </c>
      <c r="T97" s="1">
        <v>115.685</v>
      </c>
      <c r="U97" s="1"/>
      <c r="W97">
        <v>64.834000000000003</v>
      </c>
      <c r="X97">
        <v>64.347999999999999</v>
      </c>
      <c r="Y97">
        <v>140.25399999999999</v>
      </c>
      <c r="Z97">
        <v>151.88200000000001</v>
      </c>
      <c r="AA97">
        <v>172.86199999999999</v>
      </c>
      <c r="AD97">
        <v>66.921999999999997</v>
      </c>
      <c r="AE97">
        <v>64.519000000000005</v>
      </c>
      <c r="AF97">
        <v>140.155</v>
      </c>
      <c r="AG97">
        <v>188.001</v>
      </c>
      <c r="AH97">
        <v>140.06399999999999</v>
      </c>
      <c r="AK97">
        <v>65.629000000000005</v>
      </c>
      <c r="AL97">
        <v>66.161000000000001</v>
      </c>
      <c r="AM97">
        <v>145.58500000000001</v>
      </c>
      <c r="AN97">
        <v>151.011</v>
      </c>
      <c r="AO97">
        <v>142.67400000000001</v>
      </c>
    </row>
    <row r="98" spans="1:41">
      <c r="A98">
        <v>96</v>
      </c>
      <c r="B98">
        <v>118.36199999999999</v>
      </c>
      <c r="C98" s="1">
        <v>114.849</v>
      </c>
      <c r="D98" s="1">
        <v>115.31</v>
      </c>
      <c r="E98" s="1">
        <v>114.929</v>
      </c>
      <c r="F98" s="1">
        <v>114.554</v>
      </c>
      <c r="G98" s="1"/>
      <c r="H98" s="1"/>
      <c r="I98">
        <v>116.045</v>
      </c>
      <c r="J98" s="1">
        <v>116.157</v>
      </c>
      <c r="K98" s="1">
        <v>115.907</v>
      </c>
      <c r="L98" s="1">
        <v>116.52600000000001</v>
      </c>
      <c r="M98" s="1">
        <v>117.13</v>
      </c>
      <c r="N98" s="1"/>
      <c r="P98">
        <v>115.98</v>
      </c>
      <c r="Q98" s="1">
        <v>115.47799999999999</v>
      </c>
      <c r="R98" s="1">
        <v>116.44799999999999</v>
      </c>
      <c r="S98" s="1">
        <v>116.288</v>
      </c>
      <c r="T98" s="1">
        <v>115.575</v>
      </c>
      <c r="W98">
        <v>64.903999999999996</v>
      </c>
      <c r="X98">
        <v>63.671999999999997</v>
      </c>
      <c r="Y98">
        <v>139</v>
      </c>
      <c r="Z98">
        <v>144.75399999999999</v>
      </c>
      <c r="AA98">
        <v>145.27600000000001</v>
      </c>
      <c r="AD98">
        <v>64.56</v>
      </c>
      <c r="AE98">
        <v>64.566000000000003</v>
      </c>
      <c r="AF98">
        <v>141.16900000000001</v>
      </c>
      <c r="AG98">
        <v>187.97300000000001</v>
      </c>
      <c r="AH98">
        <v>140.411</v>
      </c>
      <c r="AK98">
        <v>66.412000000000006</v>
      </c>
      <c r="AL98">
        <v>66.718000000000004</v>
      </c>
      <c r="AM98">
        <v>140.374</v>
      </c>
      <c r="AN98">
        <v>147.87100000000001</v>
      </c>
      <c r="AO98">
        <v>146.648</v>
      </c>
    </row>
    <row r="99" spans="1:41">
      <c r="A99">
        <v>97</v>
      </c>
      <c r="B99">
        <v>118.129</v>
      </c>
      <c r="C99" s="1">
        <v>115.518</v>
      </c>
      <c r="D99" s="1">
        <v>114.75700000000001</v>
      </c>
      <c r="E99" s="1">
        <v>116.10900000000001</v>
      </c>
      <c r="F99" s="1">
        <v>115.21299999999999</v>
      </c>
      <c r="G99" s="1"/>
      <c r="I99">
        <v>115.331</v>
      </c>
      <c r="J99" s="1">
        <v>114.94500000000001</v>
      </c>
      <c r="K99" s="1">
        <v>115.46599999999999</v>
      </c>
      <c r="L99" s="1">
        <v>116.509</v>
      </c>
      <c r="M99" s="1">
        <v>131.625</v>
      </c>
      <c r="N99" s="1"/>
      <c r="P99">
        <v>115.98399999999999</v>
      </c>
      <c r="Q99" s="1">
        <v>115.41800000000001</v>
      </c>
      <c r="R99" s="1">
        <v>117.679</v>
      </c>
      <c r="S99" s="1">
        <v>117.07299999999999</v>
      </c>
      <c r="T99" s="1">
        <v>115.38800000000001</v>
      </c>
      <c r="U99" s="1"/>
      <c r="W99">
        <v>64.605000000000004</v>
      </c>
      <c r="X99">
        <v>63.835000000000001</v>
      </c>
      <c r="Y99">
        <v>141.06399999999999</v>
      </c>
      <c r="Z99">
        <v>151.96299999999999</v>
      </c>
      <c r="AA99">
        <v>144.93700000000001</v>
      </c>
      <c r="AD99">
        <v>91.305999999999997</v>
      </c>
      <c r="AE99">
        <v>64.415000000000006</v>
      </c>
      <c r="AF99">
        <v>139.57599999999999</v>
      </c>
      <c r="AG99">
        <v>187.95599999999999</v>
      </c>
      <c r="AH99">
        <v>140.81200000000001</v>
      </c>
      <c r="AK99">
        <v>65.442999999999998</v>
      </c>
      <c r="AL99">
        <v>66.138000000000005</v>
      </c>
      <c r="AM99">
        <v>139.953</v>
      </c>
      <c r="AN99">
        <v>148.33000000000001</v>
      </c>
      <c r="AO99">
        <v>142.70400000000001</v>
      </c>
    </row>
    <row r="100" spans="1:41">
      <c r="A100">
        <v>98</v>
      </c>
      <c r="B100">
        <v>115.768</v>
      </c>
      <c r="C100" s="1">
        <v>114.41500000000001</v>
      </c>
      <c r="D100" s="1">
        <v>114.732</v>
      </c>
      <c r="E100" s="1">
        <v>114.953</v>
      </c>
      <c r="F100" s="1">
        <v>114.76899999999999</v>
      </c>
      <c r="G100" s="1"/>
      <c r="H100" s="1"/>
      <c r="I100">
        <v>115.361</v>
      </c>
      <c r="J100" s="1">
        <v>115.649</v>
      </c>
      <c r="K100" s="1">
        <v>115.69500000000001</v>
      </c>
      <c r="L100" s="1">
        <v>115.66500000000001</v>
      </c>
      <c r="M100" s="1">
        <v>114.89</v>
      </c>
      <c r="N100" s="1"/>
      <c r="P100">
        <v>116.63200000000001</v>
      </c>
      <c r="Q100" s="1">
        <v>116.15</v>
      </c>
      <c r="R100" s="1">
        <v>137.79300000000001</v>
      </c>
      <c r="S100" s="1">
        <v>116.608</v>
      </c>
      <c r="T100" s="1">
        <v>115.238</v>
      </c>
      <c r="W100">
        <v>63.755000000000003</v>
      </c>
      <c r="X100">
        <v>63.521999999999998</v>
      </c>
      <c r="Y100">
        <v>139.03</v>
      </c>
      <c r="Z100">
        <v>147.624</v>
      </c>
      <c r="AA100">
        <v>144.54499999999999</v>
      </c>
      <c r="AD100">
        <v>64.165999999999997</v>
      </c>
      <c r="AE100">
        <v>64.399000000000001</v>
      </c>
      <c r="AF100">
        <v>141.036</v>
      </c>
      <c r="AG100">
        <v>187.874</v>
      </c>
      <c r="AH100">
        <v>140.02699999999999</v>
      </c>
      <c r="AK100">
        <v>65.802999999999997</v>
      </c>
      <c r="AL100">
        <v>66.382000000000005</v>
      </c>
      <c r="AM100">
        <v>140.53899999999999</v>
      </c>
      <c r="AN100">
        <v>148.21</v>
      </c>
      <c r="AO100">
        <v>142</v>
      </c>
    </row>
    <row r="101" spans="1:41">
      <c r="A101">
        <v>99</v>
      </c>
      <c r="B101">
        <v>117.711</v>
      </c>
      <c r="C101" s="1">
        <v>138.09199999999998</v>
      </c>
      <c r="D101" s="1">
        <v>115.119</v>
      </c>
      <c r="E101" s="1">
        <v>115.47</v>
      </c>
      <c r="F101" s="1">
        <v>115.211</v>
      </c>
      <c r="G101" s="1"/>
      <c r="H101" s="1"/>
      <c r="I101">
        <v>115.011</v>
      </c>
      <c r="J101" s="1">
        <v>114.782</v>
      </c>
      <c r="K101" s="1">
        <v>116.58300000000001</v>
      </c>
      <c r="L101" s="1">
        <v>115.702</v>
      </c>
      <c r="M101" s="1">
        <v>114.682</v>
      </c>
      <c r="N101" s="1"/>
      <c r="P101">
        <v>119.65</v>
      </c>
      <c r="Q101" s="1">
        <v>115.488</v>
      </c>
      <c r="R101" s="1">
        <v>117.06700000000001</v>
      </c>
      <c r="S101" s="1">
        <v>116.512</v>
      </c>
      <c r="T101" s="1">
        <v>115.246</v>
      </c>
      <c r="U101" s="1"/>
      <c r="W101">
        <v>64.350999999999999</v>
      </c>
      <c r="X101">
        <v>64.097999999999999</v>
      </c>
      <c r="Y101">
        <v>140.50200000000001</v>
      </c>
      <c r="Z101">
        <v>152.661</v>
      </c>
      <c r="AA101">
        <v>144.69499999999999</v>
      </c>
      <c r="AD101">
        <v>63.981000000000002</v>
      </c>
      <c r="AE101">
        <v>64.103999999999999</v>
      </c>
      <c r="AF101">
        <v>139.059</v>
      </c>
      <c r="AG101">
        <v>187.535</v>
      </c>
      <c r="AH101">
        <v>140.29900000000001</v>
      </c>
      <c r="AK101">
        <v>64.852000000000004</v>
      </c>
      <c r="AL101">
        <v>66.061000000000007</v>
      </c>
      <c r="AM101">
        <v>166.483</v>
      </c>
      <c r="AN101">
        <v>147.98099999999999</v>
      </c>
      <c r="AO101">
        <v>141.59100000000001</v>
      </c>
    </row>
    <row r="102" spans="1:41">
      <c r="A102">
        <v>100</v>
      </c>
      <c r="B102" s="16">
        <v>116.568</v>
      </c>
      <c r="C102" s="42">
        <v>115.163</v>
      </c>
      <c r="D102" s="42">
        <v>114.87700000000001</v>
      </c>
      <c r="E102" s="42">
        <v>116.051</v>
      </c>
      <c r="F102" s="42">
        <v>114.64</v>
      </c>
      <c r="G102" s="1"/>
      <c r="H102" s="1"/>
      <c r="I102" s="16">
        <v>115.20099999999999</v>
      </c>
      <c r="J102" s="42">
        <v>114.678</v>
      </c>
      <c r="K102" s="42">
        <v>116.044</v>
      </c>
      <c r="L102" s="42">
        <v>115.059</v>
      </c>
      <c r="M102" s="42">
        <v>114.58500000000001</v>
      </c>
      <c r="N102" s="1"/>
      <c r="P102" s="16">
        <v>116.45399999999999</v>
      </c>
      <c r="Q102" s="42">
        <v>115.748</v>
      </c>
      <c r="R102" s="42">
        <v>116.44</v>
      </c>
      <c r="S102" s="42">
        <v>116.30600000000001</v>
      </c>
      <c r="T102" s="42">
        <v>114.79300000000001</v>
      </c>
      <c r="U102" s="1"/>
      <c r="W102" s="16">
        <v>64.290000000000006</v>
      </c>
      <c r="X102" s="16">
        <v>64.790999999999997</v>
      </c>
      <c r="Y102" s="16">
        <v>160.489</v>
      </c>
      <c r="Z102" s="16">
        <v>144.75800000000001</v>
      </c>
      <c r="AA102" s="16">
        <v>144.452</v>
      </c>
      <c r="AD102">
        <v>64.224000000000004</v>
      </c>
      <c r="AE102">
        <v>64.36</v>
      </c>
      <c r="AF102">
        <v>141.065</v>
      </c>
      <c r="AG102">
        <v>187.32300000000001</v>
      </c>
      <c r="AH102">
        <v>142.21600000000001</v>
      </c>
      <c r="AK102">
        <v>65.582999999999998</v>
      </c>
      <c r="AL102">
        <v>66.016000000000005</v>
      </c>
      <c r="AM102">
        <v>140.542</v>
      </c>
      <c r="AN102">
        <v>148.24700000000001</v>
      </c>
      <c r="AO102">
        <v>141.65899999999999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24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24</v>
      </c>
      <c r="I105" s="3" t="s">
        <v>0</v>
      </c>
      <c r="J105" s="3" t="s">
        <v>1</v>
      </c>
      <c r="K105" s="17" t="s">
        <v>2</v>
      </c>
      <c r="L105" s="17" t="s">
        <v>3</v>
      </c>
      <c r="M105" s="18" t="s">
        <v>4</v>
      </c>
      <c r="O105" s="2" t="s">
        <v>24</v>
      </c>
      <c r="P105" s="3" t="s">
        <v>0</v>
      </c>
      <c r="Q105" s="3" t="s">
        <v>1</v>
      </c>
      <c r="R105" s="17" t="s">
        <v>2</v>
      </c>
      <c r="S105" s="17" t="s">
        <v>3</v>
      </c>
      <c r="T105" s="18" t="s">
        <v>4</v>
      </c>
      <c r="V105" s="19" t="s">
        <v>24</v>
      </c>
      <c r="W105" s="20" t="s">
        <v>0</v>
      </c>
      <c r="X105" s="20" t="s">
        <v>1</v>
      </c>
      <c r="Y105" s="21" t="s">
        <v>2</v>
      </c>
      <c r="Z105" s="21" t="s">
        <v>3</v>
      </c>
      <c r="AA105" s="22" t="s">
        <v>4</v>
      </c>
      <c r="AC105" s="19" t="s">
        <v>24</v>
      </c>
      <c r="AD105" s="20" t="s">
        <v>0</v>
      </c>
      <c r="AE105" s="20" t="s">
        <v>1</v>
      </c>
      <c r="AF105" s="21" t="s">
        <v>2</v>
      </c>
      <c r="AG105" s="21" t="s">
        <v>3</v>
      </c>
      <c r="AH105" s="22" t="s">
        <v>4</v>
      </c>
      <c r="AJ105" s="19" t="s">
        <v>24</v>
      </c>
      <c r="AK105" s="20" t="s">
        <v>0</v>
      </c>
      <c r="AL105" s="20" t="s">
        <v>1</v>
      </c>
      <c r="AM105" s="21" t="s">
        <v>2</v>
      </c>
      <c r="AN105" s="21" t="s">
        <v>3</v>
      </c>
      <c r="AO105" s="22" t="s">
        <v>4</v>
      </c>
    </row>
    <row r="106" spans="1:41" ht="16" thickTop="1">
      <c r="A106" t="s">
        <v>101</v>
      </c>
      <c r="B106">
        <f>AVERAGE(Encrypt16x16[ECB])</f>
        <v>117.66337000000003</v>
      </c>
      <c r="C106">
        <f>AVERAGE(Encrypt16x16[CBC])</f>
        <v>117.27493999999997</v>
      </c>
      <c r="D106">
        <f>AVERAGE(Encrypt16x16[OFB])</f>
        <v>117.13887999999997</v>
      </c>
      <c r="E106">
        <f>AVERAGE(Encrypt16x16[CFB])</f>
        <v>117.85673999999999</v>
      </c>
      <c r="F106">
        <f>AVERAGE(Encrypt16x16[CTR])</f>
        <v>117.10758999999999</v>
      </c>
      <c r="H106" t="s">
        <v>101</v>
      </c>
      <c r="I106" s="6">
        <f>AVERAGE(Encrypt24x16[ECB])</f>
        <v>119.3309</v>
      </c>
      <c r="J106" s="6">
        <f>AVERAGE(Encrypt24x16[CBC])</f>
        <v>119.41116999999998</v>
      </c>
      <c r="K106" s="6">
        <f>AVERAGE(Encrypt24x16[OFB])</f>
        <v>119.31407999999999</v>
      </c>
      <c r="L106" s="6">
        <f>AVERAGE(Encrypt24x16[CFB])</f>
        <v>120.24836999999999</v>
      </c>
      <c r="M106" s="6">
        <f>AVERAGE(Encrypt24x16[CTR])</f>
        <v>118.99982</v>
      </c>
      <c r="O106" t="s">
        <v>101</v>
      </c>
      <c r="P106" s="6">
        <f>AVERAGE(Encrypt32x16[ECB])</f>
        <v>117.81823</v>
      </c>
      <c r="Q106" s="6">
        <f>AVERAGE(Encrypt32x16[CBC])</f>
        <v>117.92999999999995</v>
      </c>
      <c r="R106" s="6">
        <f>AVERAGE(Encrypt32x16[OFB])</f>
        <v>118.70030000000001</v>
      </c>
      <c r="S106" s="6">
        <f>AVERAGE(Encrypt32x16[CFB])</f>
        <v>117.90259</v>
      </c>
      <c r="T106" s="6">
        <f>AVERAGE(Encrypt32x16[CTR])</f>
        <v>116.64321000000004</v>
      </c>
      <c r="V106" t="s">
        <v>101</v>
      </c>
      <c r="W106" s="6">
        <f>AVERAGE(Decrypt16x16[ECB])</f>
        <v>66.499029999999991</v>
      </c>
      <c r="X106" s="6">
        <f>AVERAGE(Decrypt16x16[CBC])</f>
        <v>64.949040000000011</v>
      </c>
      <c r="Y106" s="6">
        <f>AVERAGE(Decrypt16x16[OFB])</f>
        <v>142.99573000000004</v>
      </c>
      <c r="Z106" s="6">
        <f>AVERAGE(Decrypt16x16[CFB])</f>
        <v>151.53071000000003</v>
      </c>
      <c r="AA106" s="7">
        <f>AVERAGE(Decrypt16x16[CTR])</f>
        <v>147.03017000000003</v>
      </c>
      <c r="AC106" t="s">
        <v>101</v>
      </c>
      <c r="AD106" s="6">
        <f>AVERAGE(Decrypt24x16[ECB])</f>
        <v>65.36763999999998</v>
      </c>
      <c r="AE106" s="6">
        <f>AVERAGE(Decrypt24x16[CBC])</f>
        <v>65.213950000000011</v>
      </c>
      <c r="AF106" s="6">
        <f>AVERAGE(Decrypt24x16[OFB])</f>
        <v>142.01323999999994</v>
      </c>
      <c r="AG106" s="6">
        <f>AVERAGE(Decrypt24x16[CFB])</f>
        <v>190.72768999999997</v>
      </c>
      <c r="AH106" s="7">
        <f>AVERAGE(Decrypt24x16[CTR])</f>
        <v>141.55201</v>
      </c>
      <c r="AJ106" t="s">
        <v>101</v>
      </c>
      <c r="AK106" s="6">
        <f>AVERAGE(Decrypt32x16[ECB])</f>
        <v>66.93177</v>
      </c>
      <c r="AL106" s="6">
        <f>AVERAGE(Decrypt32x16[CBC])</f>
        <v>67.821669999999969</v>
      </c>
      <c r="AM106" s="6">
        <f>AVERAGE(Decrypt32x16[OFB])</f>
        <v>142.38093999999998</v>
      </c>
      <c r="AN106" s="6">
        <f>AVERAGE(Decrypt32x16[CFB])</f>
        <v>150.87721999999994</v>
      </c>
      <c r="AO106" s="7">
        <f>AVERAGE(Decrypt32x16[CTR])</f>
        <v>145.48394999999999</v>
      </c>
    </row>
    <row r="107" spans="1:41">
      <c r="A107" t="s">
        <v>9</v>
      </c>
      <c r="B107">
        <f>MIN(Encrypt16x16[ECB])</f>
        <v>113.931</v>
      </c>
      <c r="C107">
        <f>MIN(Encrypt16x16[CBC])</f>
        <v>113.983</v>
      </c>
      <c r="D107">
        <f>MIN(Encrypt16x16[OFB])</f>
        <v>114.009</v>
      </c>
      <c r="E107">
        <f>MIN(Encrypt16x16[CFB])</f>
        <v>114.568</v>
      </c>
      <c r="F107">
        <f>MIN(Encrypt16x16[CTR])</f>
        <v>114.057</v>
      </c>
      <c r="H107" t="s">
        <v>9</v>
      </c>
      <c r="I107" s="9">
        <f>MIN(Encrypt24x16[ECB])</f>
        <v>114.81</v>
      </c>
      <c r="J107" s="9">
        <f>MIN(Encrypt24x16[CBC])</f>
        <v>114.64</v>
      </c>
      <c r="K107" s="9">
        <f>MIN(Encrypt24x16[OFB])</f>
        <v>115.18299999999999</v>
      </c>
      <c r="L107" s="9">
        <f>MIN(Encrypt24x16[CFB])</f>
        <v>115.059</v>
      </c>
      <c r="M107" s="9">
        <f>MIN(Encrypt24x16[CTR])</f>
        <v>114.58500000000001</v>
      </c>
      <c r="O107" t="s">
        <v>9</v>
      </c>
      <c r="P107" s="9">
        <f>MIN(Encrypt32x16[ECB])</f>
        <v>115.19</v>
      </c>
      <c r="Q107" s="9">
        <f>MIN(Encrypt32x16[CBC])</f>
        <v>114.90599999999999</v>
      </c>
      <c r="R107" s="9">
        <f>MIN(Encrypt32x16[OFB])</f>
        <v>115.715</v>
      </c>
      <c r="S107" s="9">
        <f>MIN(Encrypt32x16[CFB])</f>
        <v>115.645</v>
      </c>
      <c r="T107" s="9">
        <f>MIN(Encrypt32x16[CTR])</f>
        <v>114.708</v>
      </c>
      <c r="V107" t="s">
        <v>9</v>
      </c>
      <c r="W107" s="9">
        <f>MIN(Decrypt16x16[ECB])</f>
        <v>63.61</v>
      </c>
      <c r="X107" s="9">
        <f>MIN(Decrypt16x16[CBC])</f>
        <v>63.256999999999998</v>
      </c>
      <c r="Y107" s="9">
        <f>MIN(Decrypt16x16[OFB])</f>
        <v>138.886</v>
      </c>
      <c r="Z107" s="9">
        <f>MIN(Decrypt16x16[CFB])</f>
        <v>144.74</v>
      </c>
      <c r="AA107" s="10">
        <f>MIN(Decrypt16x16[CTR])</f>
        <v>144.33600000000001</v>
      </c>
      <c r="AC107" t="s">
        <v>9</v>
      </c>
      <c r="AD107" s="9">
        <f>MIN(Decrypt24x16[ECB])</f>
        <v>63.582999999999998</v>
      </c>
      <c r="AE107" s="9">
        <f>MIN(Decrypt24x16[CBC])</f>
        <v>63.917000000000002</v>
      </c>
      <c r="AF107" s="9">
        <f>MIN(Decrypt24x16[OFB])</f>
        <v>138.87700000000001</v>
      </c>
      <c r="AG107" s="9">
        <f>MIN(Decrypt24x16[CFB])</f>
        <v>186.77099999999999</v>
      </c>
      <c r="AH107" s="10">
        <f>MIN(Decrypt24x16[CTR])</f>
        <v>139.572</v>
      </c>
      <c r="AJ107" t="s">
        <v>9</v>
      </c>
      <c r="AK107" s="9">
        <f>MIN(Decrypt32x16[ECB])</f>
        <v>64.852000000000004</v>
      </c>
      <c r="AL107" s="9">
        <f>MIN(Decrypt32x16[CBC])</f>
        <v>65.936999999999998</v>
      </c>
      <c r="AM107" s="9">
        <f>MIN(Decrypt32x16[OFB])</f>
        <v>139.316</v>
      </c>
      <c r="AN107" s="9">
        <f>MIN(Decrypt32x16[CFB])</f>
        <v>147.58600000000001</v>
      </c>
      <c r="AO107" s="10">
        <f>MIN(Decrypt32x16[CTR])</f>
        <v>141.429</v>
      </c>
    </row>
    <row r="108" spans="1:41">
      <c r="A108" t="s">
        <v>10</v>
      </c>
      <c r="B108">
        <f>MAX(Encrypt16x16[ECB])</f>
        <v>150.25399999999999</v>
      </c>
      <c r="C108">
        <f>MAX(Encrypt16x16[CBC])</f>
        <v>161.03500000000003</v>
      </c>
      <c r="D108">
        <f>MAX(Encrypt16x16[OFB])</f>
        <v>146.226</v>
      </c>
      <c r="E108">
        <f>MAX(Encrypt16x16[CFB])</f>
        <v>158.21699999999998</v>
      </c>
      <c r="F108">
        <f>MAX(Encrypt16x16[CTR])</f>
        <v>140.62199999999999</v>
      </c>
      <c r="H108" t="s">
        <v>10</v>
      </c>
      <c r="I108" s="6">
        <f>MAX(Encrypt24x16[ECB])</f>
        <v>147.434</v>
      </c>
      <c r="J108" s="6">
        <f>MAX(Encrypt24x16[CBC])</f>
        <v>153.27599999999998</v>
      </c>
      <c r="K108" s="6">
        <f>MAX(Encrypt24x16[OFB])</f>
        <v>138.54400000000001</v>
      </c>
      <c r="L108" s="6">
        <f>MAX(Encrypt24x16[CFB])</f>
        <v>164.38200000000001</v>
      </c>
      <c r="M108" s="6">
        <f>MAX(Encrypt24x16[CTR])</f>
        <v>158.452</v>
      </c>
      <c r="O108" t="s">
        <v>10</v>
      </c>
      <c r="P108" s="6">
        <f>MAX(Encrypt32x16[ECB])</f>
        <v>149.911</v>
      </c>
      <c r="Q108" s="6">
        <f>MAX(Encrypt32x16[CBC])</f>
        <v>150.97999999999999</v>
      </c>
      <c r="R108" s="6">
        <f>MAX(Encrypt32x16[OFB])</f>
        <v>149.821</v>
      </c>
      <c r="S108" s="6">
        <f>MAX(Encrypt32x16[CFB])</f>
        <v>150.65100000000001</v>
      </c>
      <c r="T108" s="6">
        <f>MAX(Encrypt32x16[CTR])</f>
        <v>144.87800000000001</v>
      </c>
      <c r="V108" t="s">
        <v>10</v>
      </c>
      <c r="W108" s="6">
        <f>MAX(Decrypt16x16[ECB])</f>
        <v>99.171000000000006</v>
      </c>
      <c r="X108" s="6">
        <f>MAX(Decrypt16x16[CBC])</f>
        <v>90.796000000000006</v>
      </c>
      <c r="Y108" s="6">
        <f>MAX(Decrypt16x16[OFB])</f>
        <v>211.75700000000001</v>
      </c>
      <c r="Z108" s="6">
        <f>MAX(Decrypt16x16[CFB])</f>
        <v>228.22</v>
      </c>
      <c r="AA108" s="7">
        <f>MAX(Decrypt16x16[CTR])</f>
        <v>173.04900000000001</v>
      </c>
      <c r="AC108" t="s">
        <v>10</v>
      </c>
      <c r="AD108" s="6">
        <f>MAX(Decrypt24x16[ECB])</f>
        <v>91.540999999999997</v>
      </c>
      <c r="AE108" s="6">
        <f>MAX(Decrypt24x16[CBC])</f>
        <v>92.831000000000003</v>
      </c>
      <c r="AF108" s="6">
        <f>MAX(Decrypt24x16[OFB])</f>
        <v>175.601</v>
      </c>
      <c r="AG108" s="6">
        <f>MAX(Decrypt24x16[CFB])</f>
        <v>217.685</v>
      </c>
      <c r="AH108" s="7">
        <f>MAX(Decrypt24x16[CTR])</f>
        <v>164.38499999999999</v>
      </c>
      <c r="AJ108" t="s">
        <v>10</v>
      </c>
      <c r="AK108" s="6">
        <f>MAX(Decrypt32x16[ECB])</f>
        <v>113.285</v>
      </c>
      <c r="AL108" s="6">
        <f>MAX(Decrypt32x16[CBC])</f>
        <v>102.129</v>
      </c>
      <c r="AM108" s="6">
        <f>MAX(Decrypt32x16[OFB])</f>
        <v>174.239</v>
      </c>
      <c r="AN108" s="6">
        <f>MAX(Decrypt32x16[CFB])</f>
        <v>184.19300000000001</v>
      </c>
      <c r="AO108" s="7">
        <f>MAX(Decrypt32x16[CTR])</f>
        <v>224.48599999999999</v>
      </c>
    </row>
    <row r="109" spans="1:41">
      <c r="A109" t="s">
        <v>8</v>
      </c>
      <c r="B109">
        <f>MEDIAN(Encrypt16x16[ECB])</f>
        <v>116.059</v>
      </c>
      <c r="C109">
        <f>MEDIAN(Encrypt16x16[CBC])</f>
        <v>115.4755</v>
      </c>
      <c r="D109">
        <f>MEDIAN(Encrypt16x16[OFB])</f>
        <v>115.51650000000001</v>
      </c>
      <c r="E109">
        <f>MEDIAN(Encrypt16x16[CFB])</f>
        <v>115.72199999999999</v>
      </c>
      <c r="F109">
        <f>MEDIAN(Encrypt16x16[CTR])</f>
        <v>115.33500000000001</v>
      </c>
      <c r="H109" t="s">
        <v>8</v>
      </c>
      <c r="I109" s="11">
        <f>MEDIAN(Encrypt24x16[ECB])</f>
        <v>116.18600000000001</v>
      </c>
      <c r="J109" s="11">
        <f>MEDIAN(Encrypt24x16[CBC])</f>
        <v>115.86150000000001</v>
      </c>
      <c r="K109" s="11">
        <f>MEDIAN(Encrypt24x16[OFB])</f>
        <v>116.2265</v>
      </c>
      <c r="L109" s="11">
        <f>MEDIAN(Encrypt24x16[CFB])</f>
        <v>116.27500000000001</v>
      </c>
      <c r="M109" s="11">
        <f>MEDIAN(Encrypt24x16[CTR])</f>
        <v>115.901</v>
      </c>
      <c r="O109" t="s">
        <v>8</v>
      </c>
      <c r="P109" s="11">
        <f>MEDIAN(Encrypt32x16[ECB])</f>
        <v>116.15</v>
      </c>
      <c r="Q109" s="11">
        <f>MEDIAN(Encrypt32x16[CBC])</f>
        <v>115.85550000000001</v>
      </c>
      <c r="R109" s="11">
        <f>MEDIAN(Encrypt32x16[OFB])</f>
        <v>116.55350000000001</v>
      </c>
      <c r="S109" s="11">
        <f>MEDIAN(Encrypt32x16[CFB])</f>
        <v>116.51</v>
      </c>
      <c r="T109" s="11">
        <f>MEDIAN(Encrypt32x16[CTR])</f>
        <v>115.4455</v>
      </c>
      <c r="V109" t="s">
        <v>8</v>
      </c>
      <c r="W109" s="11">
        <f>MEDIAN(Decrypt16x16[ECB])</f>
        <v>64.9435</v>
      </c>
      <c r="X109" s="11">
        <f>MEDIAN(Decrypt16x16[CBC])</f>
        <v>64.066000000000003</v>
      </c>
      <c r="Y109" s="11">
        <f>MEDIAN(Decrypt16x16[OFB])</f>
        <v>140.91800000000001</v>
      </c>
      <c r="Z109" s="11">
        <f>MEDIAN(Decrypt16x16[CFB])</f>
        <v>151.779</v>
      </c>
      <c r="AA109" s="12">
        <f>MEDIAN(Decrypt16x16[CTR])</f>
        <v>145.4205</v>
      </c>
      <c r="AC109" t="s">
        <v>8</v>
      </c>
      <c r="AD109" s="11">
        <f>MEDIAN(Decrypt24x16[ECB])</f>
        <v>64.298500000000004</v>
      </c>
      <c r="AE109" s="11">
        <f>MEDIAN(Decrypt24x16[CBC])</f>
        <v>64.37</v>
      </c>
      <c r="AF109" s="11">
        <f>MEDIAN(Decrypt24x16[OFB])</f>
        <v>140.697</v>
      </c>
      <c r="AG109" s="11">
        <f>MEDIAN(Decrypt24x16[CFB])</f>
        <v>187.98050000000001</v>
      </c>
      <c r="AH109" s="12">
        <f>MEDIAN(Decrypt24x16[CTR])</f>
        <v>140.42449999999999</v>
      </c>
      <c r="AJ109" t="s">
        <v>8</v>
      </c>
      <c r="AK109" s="11">
        <f>MEDIAN(Decrypt32x16[ECB])</f>
        <v>65.754500000000007</v>
      </c>
      <c r="AL109" s="11">
        <f>MEDIAN(Decrypt32x16[CBC])</f>
        <v>66.4285</v>
      </c>
      <c r="AM109" s="11">
        <f>MEDIAN(Decrypt32x16[OFB])</f>
        <v>140.596</v>
      </c>
      <c r="AN109" s="11">
        <f>MEDIAN(Decrypt32x16[CFB])</f>
        <v>148.32400000000001</v>
      </c>
      <c r="AO109" s="12">
        <f>MEDIAN(Decrypt32x16[CTR])</f>
        <v>142.35599999999999</v>
      </c>
    </row>
    <row r="110" spans="1:41">
      <c r="A110" s="16" t="s">
        <v>92</v>
      </c>
      <c r="B110" s="16">
        <f>1000/B106</f>
        <v>8.4988216808680548</v>
      </c>
      <c r="C110" s="16">
        <f t="shared" ref="C110:F110" si="0">1000/C106</f>
        <v>8.5269708942080911</v>
      </c>
      <c r="D110" s="16">
        <f t="shared" si="0"/>
        <v>8.5368752031776314</v>
      </c>
      <c r="E110" s="16">
        <f t="shared" si="0"/>
        <v>8.4848774877024429</v>
      </c>
      <c r="F110" s="16">
        <f t="shared" si="0"/>
        <v>8.5391561725418494</v>
      </c>
      <c r="H110" s="16" t="s">
        <v>92</v>
      </c>
      <c r="I110" s="16">
        <f>1000/I106</f>
        <v>8.3800591464574552</v>
      </c>
      <c r="J110" s="16">
        <f t="shared" ref="J110:M110" si="1">1000/J106</f>
        <v>8.3744259435696016</v>
      </c>
      <c r="K110" s="16">
        <f t="shared" si="1"/>
        <v>8.3812405040545102</v>
      </c>
      <c r="L110" s="16">
        <f t="shared" si="1"/>
        <v>8.3161210418070528</v>
      </c>
      <c r="M110" s="16">
        <f t="shared" si="1"/>
        <v>8.4033740555237824</v>
      </c>
      <c r="O110" s="16" t="s">
        <v>92</v>
      </c>
      <c r="P110" s="16">
        <f>1000/P106</f>
        <v>8.4876508499575998</v>
      </c>
      <c r="Q110" s="16">
        <f t="shared" ref="Q110:T110" si="2">1000/Q106</f>
        <v>8.4796065462562566</v>
      </c>
      <c r="R110" s="16">
        <f t="shared" si="2"/>
        <v>8.4245785393971193</v>
      </c>
      <c r="S110" s="16">
        <f t="shared" si="2"/>
        <v>8.4815778856087896</v>
      </c>
      <c r="T110" s="16">
        <f t="shared" si="2"/>
        <v>8.5731522649282343</v>
      </c>
      <c r="V110" s="16" t="s">
        <v>92</v>
      </c>
      <c r="W110" s="16">
        <f>1000/W106</f>
        <v>15.0378133335178</v>
      </c>
      <c r="X110" s="16">
        <f t="shared" ref="X110:AA110" si="3">1000/X106</f>
        <v>15.396686386742589</v>
      </c>
      <c r="Y110" s="16">
        <f t="shared" si="3"/>
        <v>6.9932158114091916</v>
      </c>
      <c r="Z110" s="16">
        <f t="shared" si="3"/>
        <v>6.5993223419859897</v>
      </c>
      <c r="AA110" s="16">
        <f t="shared" si="3"/>
        <v>6.8013251974067623</v>
      </c>
      <c r="AC110" s="16" t="s">
        <v>92</v>
      </c>
      <c r="AD110" s="16">
        <f>1000/AD106</f>
        <v>15.298089391019781</v>
      </c>
      <c r="AE110" s="16">
        <f t="shared" ref="AE110:AH110" si="4">1000/AE106</f>
        <v>15.334142464917397</v>
      </c>
      <c r="AF110" s="16">
        <f t="shared" si="4"/>
        <v>7.041596966592695</v>
      </c>
      <c r="AG110" s="16">
        <f t="shared" si="4"/>
        <v>5.243077185069458</v>
      </c>
      <c r="AH110" s="16">
        <f t="shared" si="4"/>
        <v>7.064541153460131</v>
      </c>
      <c r="AJ110" s="16" t="s">
        <v>92</v>
      </c>
      <c r="AK110" s="16">
        <f>1000/AK106</f>
        <v>14.940588004769634</v>
      </c>
      <c r="AL110" s="16">
        <f t="shared" ref="AL110:AO110" si="5">1000/AL106</f>
        <v>14.744549935146104</v>
      </c>
      <c r="AM110" s="16">
        <f t="shared" si="5"/>
        <v>7.0234119819689358</v>
      </c>
      <c r="AN110" s="16">
        <f t="shared" si="5"/>
        <v>6.6279057898866407</v>
      </c>
      <c r="AO110" s="16">
        <f t="shared" si="5"/>
        <v>6.8736104566861158</v>
      </c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3:22">
      <c r="C113" s="14"/>
      <c r="D113" s="14"/>
      <c r="E113" s="14"/>
      <c r="F113" s="14"/>
      <c r="G113" s="1"/>
      <c r="H113" s="1"/>
      <c r="J113" s="14"/>
      <c r="K113" s="14"/>
      <c r="L113" s="14"/>
      <c r="M113" s="14"/>
      <c r="N113" s="1"/>
      <c r="O113" s="1"/>
      <c r="Q113" s="14"/>
      <c r="R113" s="14"/>
      <c r="S113" s="14"/>
      <c r="T113" s="14"/>
      <c r="U113" s="1"/>
      <c r="V113" s="1"/>
    </row>
    <row r="114" spans="3:22">
      <c r="C114" s="14"/>
      <c r="D114" s="14"/>
      <c r="E114" s="14"/>
      <c r="F114" s="14"/>
      <c r="G114" s="1"/>
      <c r="H114" s="1"/>
      <c r="J114" s="14"/>
      <c r="K114" s="14"/>
      <c r="L114" s="14"/>
      <c r="M114" s="14"/>
      <c r="N114" s="1"/>
      <c r="O114" s="1"/>
      <c r="Q114" s="14"/>
      <c r="R114" s="14"/>
      <c r="S114" s="14"/>
      <c r="T114" s="14"/>
      <c r="U114" s="1"/>
      <c r="V114" s="1"/>
    </row>
    <row r="115" spans="3:22">
      <c r="C115" s="14"/>
      <c r="D115" s="14"/>
      <c r="E115" s="14"/>
      <c r="F115" s="14"/>
      <c r="H115" s="1"/>
      <c r="J115" s="14"/>
      <c r="K115" s="14"/>
      <c r="L115" s="14"/>
      <c r="M115" s="14"/>
      <c r="O115" s="1"/>
      <c r="Q115" s="14"/>
      <c r="R115" s="14"/>
      <c r="S115" s="14"/>
      <c r="T115" s="14"/>
      <c r="V115" s="1"/>
    </row>
    <row r="116" spans="3:22">
      <c r="C116" s="14"/>
      <c r="D116" s="14"/>
      <c r="E116" s="14"/>
      <c r="F116" s="14"/>
      <c r="J116" s="14"/>
      <c r="K116" s="14"/>
      <c r="L116" s="14"/>
      <c r="M116" s="14"/>
      <c r="Q116" s="14"/>
      <c r="R116" s="14"/>
      <c r="S116" s="14"/>
      <c r="T116" s="14"/>
    </row>
    <row r="117" spans="3:22">
      <c r="C117" s="14"/>
      <c r="D117" s="14"/>
      <c r="E117" s="14"/>
      <c r="F117" s="14"/>
      <c r="J117" s="14"/>
      <c r="K117" s="14"/>
      <c r="L117" s="14"/>
      <c r="M117" s="14"/>
      <c r="Q117" s="14"/>
      <c r="R117" s="14"/>
      <c r="S117" s="14"/>
      <c r="T117" s="14"/>
    </row>
    <row r="118" spans="3:22">
      <c r="C118" s="14"/>
      <c r="D118" s="14"/>
      <c r="E118" s="14"/>
      <c r="F118" s="14"/>
      <c r="J118" s="14"/>
      <c r="K118" s="14"/>
      <c r="L118" s="14"/>
      <c r="M118" s="14"/>
      <c r="Q118" s="14"/>
      <c r="R118" s="14"/>
      <c r="S118" s="14"/>
      <c r="T118" s="14"/>
    </row>
    <row r="119" spans="3:22">
      <c r="C119" s="14"/>
      <c r="D119" s="14"/>
      <c r="E119" s="14"/>
      <c r="F119" s="14"/>
      <c r="J119" s="14"/>
      <c r="K119" s="14"/>
      <c r="L119" s="14"/>
      <c r="M119" s="14"/>
      <c r="Q119" s="14"/>
      <c r="R119" s="14"/>
      <c r="S119" s="14"/>
      <c r="T119" s="14"/>
    </row>
    <row r="120" spans="3:22">
      <c r="C120" s="14"/>
      <c r="D120" s="14"/>
      <c r="E120" s="14"/>
      <c r="F120" s="14"/>
      <c r="G120" s="1"/>
      <c r="J120" s="14"/>
      <c r="K120" s="14"/>
      <c r="L120" s="14"/>
      <c r="M120" s="14"/>
      <c r="N120" s="1"/>
      <c r="Q120" s="14"/>
      <c r="R120" s="14"/>
      <c r="S120" s="14"/>
      <c r="T120" s="14"/>
      <c r="U120" s="1"/>
    </row>
    <row r="121" spans="3:22">
      <c r="C121" s="14"/>
      <c r="D121" s="14"/>
      <c r="E121" s="14"/>
      <c r="F121" s="14"/>
      <c r="G121" s="1"/>
      <c r="H121" s="1"/>
      <c r="J121" s="14"/>
      <c r="K121" s="14"/>
      <c r="L121" s="14"/>
      <c r="M121" s="14"/>
      <c r="N121" s="1"/>
      <c r="O121" s="1"/>
      <c r="Q121" s="14"/>
      <c r="R121" s="14"/>
      <c r="S121" s="14"/>
      <c r="T121" s="14"/>
      <c r="U121" s="1"/>
      <c r="V121" s="1"/>
    </row>
    <row r="122" spans="3:22">
      <c r="C122" s="14"/>
      <c r="D122" s="14"/>
      <c r="E122" s="14"/>
      <c r="F122" s="14"/>
      <c r="G122" s="1"/>
      <c r="H122" s="1"/>
      <c r="J122" s="14"/>
      <c r="K122" s="14"/>
      <c r="L122" s="14"/>
      <c r="M122" s="14"/>
      <c r="N122" s="1"/>
      <c r="O122" s="1"/>
      <c r="Q122" s="14"/>
      <c r="R122" s="14"/>
      <c r="S122" s="14"/>
      <c r="T122" s="14"/>
      <c r="U122" s="1"/>
      <c r="V122" s="1"/>
    </row>
    <row r="123" spans="3:22">
      <c r="C123" s="14"/>
      <c r="D123" s="14"/>
      <c r="E123" s="14"/>
      <c r="F123" s="14"/>
      <c r="G123" s="1"/>
      <c r="H123" s="1"/>
      <c r="J123" s="14"/>
      <c r="K123" s="14"/>
      <c r="L123" s="14"/>
      <c r="M123" s="14"/>
      <c r="N123" s="1"/>
      <c r="O123" s="1"/>
      <c r="Q123" s="14"/>
      <c r="R123" s="14"/>
      <c r="S123" s="14"/>
      <c r="T123" s="14"/>
      <c r="U123" s="1"/>
      <c r="V123" s="1"/>
    </row>
    <row r="124" spans="3:22">
      <c r="C124" s="14"/>
      <c r="D124" s="14"/>
      <c r="E124" s="14"/>
      <c r="F124" s="14"/>
      <c r="G124" s="1"/>
      <c r="H124" s="1"/>
      <c r="J124" s="14"/>
      <c r="K124" s="14"/>
      <c r="L124" s="14"/>
      <c r="M124" s="14"/>
      <c r="N124" s="1"/>
      <c r="O124" s="1"/>
      <c r="Q124" s="14"/>
      <c r="R124" s="14"/>
      <c r="S124" s="14"/>
      <c r="T124" s="14"/>
      <c r="U124" s="1"/>
      <c r="V124" s="1"/>
    </row>
    <row r="125" spans="3:22">
      <c r="C125" s="14"/>
      <c r="D125" s="14"/>
      <c r="E125" s="14"/>
      <c r="F125" s="14"/>
      <c r="G125" s="1"/>
      <c r="H125" s="1"/>
      <c r="J125" s="14"/>
      <c r="K125" s="14"/>
      <c r="L125" s="14"/>
      <c r="M125" s="14"/>
      <c r="N125" s="1"/>
      <c r="O125" s="1"/>
      <c r="Q125" s="14"/>
      <c r="R125" s="14"/>
      <c r="S125" s="14"/>
      <c r="T125" s="14"/>
      <c r="U125" s="1"/>
      <c r="V125" s="1"/>
    </row>
    <row r="126" spans="3:22">
      <c r="C126" s="14"/>
      <c r="D126" s="14"/>
      <c r="E126" s="14"/>
      <c r="F126" s="14"/>
      <c r="H126" s="1"/>
      <c r="J126" s="14"/>
      <c r="K126" s="14"/>
      <c r="L126" s="14"/>
      <c r="M126" s="14"/>
      <c r="O126" s="1"/>
      <c r="Q126" s="14"/>
      <c r="R126" s="14"/>
      <c r="S126" s="14"/>
      <c r="T126" s="14"/>
      <c r="V126" s="1"/>
    </row>
    <row r="127" spans="3:22">
      <c r="C127" s="14"/>
      <c r="D127" s="14"/>
      <c r="E127" s="14"/>
      <c r="F127" s="14"/>
      <c r="G127" s="1"/>
      <c r="J127" s="14"/>
      <c r="K127" s="14"/>
      <c r="L127" s="14"/>
      <c r="M127" s="14"/>
      <c r="N127" s="1"/>
      <c r="Q127" s="14"/>
      <c r="R127" s="14"/>
      <c r="S127" s="14"/>
      <c r="T127" s="14"/>
      <c r="U127" s="1"/>
    </row>
    <row r="128" spans="3:22">
      <c r="C128" s="14"/>
      <c r="D128" s="14"/>
      <c r="E128" s="14"/>
      <c r="F128" s="14"/>
      <c r="G128" s="1"/>
      <c r="H128" s="1"/>
      <c r="J128" s="14"/>
      <c r="K128" s="14"/>
      <c r="L128" s="14"/>
      <c r="M128" s="14"/>
      <c r="N128" s="1"/>
      <c r="O128" s="1"/>
      <c r="Q128" s="14"/>
      <c r="R128" s="14"/>
      <c r="S128" s="14"/>
      <c r="T128" s="14"/>
      <c r="U128" s="1"/>
      <c r="V128" s="1"/>
    </row>
    <row r="129" spans="3:22">
      <c r="C129" s="14"/>
      <c r="D129" s="14"/>
      <c r="E129" s="14"/>
      <c r="F129" s="14"/>
      <c r="G129" s="1"/>
      <c r="H129" s="1"/>
      <c r="J129" s="14"/>
      <c r="K129" s="14"/>
      <c r="L129" s="14"/>
      <c r="M129" s="14"/>
      <c r="N129" s="1"/>
      <c r="O129" s="1"/>
      <c r="Q129" s="14"/>
      <c r="R129" s="14"/>
      <c r="S129" s="14"/>
      <c r="T129" s="14"/>
      <c r="U129" s="1"/>
      <c r="V129" s="1"/>
    </row>
    <row r="130" spans="3:22">
      <c r="C130" s="14"/>
      <c r="D130" s="14"/>
      <c r="E130" s="14"/>
      <c r="F130" s="14"/>
      <c r="G130" s="1"/>
      <c r="H130" s="1"/>
      <c r="J130" s="14"/>
      <c r="K130" s="14"/>
      <c r="L130" s="14"/>
      <c r="M130" s="14"/>
      <c r="N130" s="1"/>
      <c r="O130" s="1"/>
      <c r="Q130" s="14"/>
      <c r="R130" s="14"/>
      <c r="S130" s="14"/>
      <c r="T130" s="14"/>
      <c r="U130" s="1"/>
      <c r="V130" s="1"/>
    </row>
    <row r="131" spans="3:22">
      <c r="C131" s="14"/>
      <c r="D131" s="14"/>
      <c r="E131" s="14"/>
      <c r="F131" s="14"/>
      <c r="G131" s="1"/>
      <c r="H131" s="1"/>
      <c r="J131" s="14"/>
      <c r="K131" s="14"/>
      <c r="L131" s="14"/>
      <c r="M131" s="14"/>
      <c r="N131" s="1"/>
      <c r="O131" s="1"/>
      <c r="Q131" s="14"/>
      <c r="R131" s="14"/>
      <c r="S131" s="14"/>
      <c r="T131" s="14"/>
      <c r="U131" s="1"/>
      <c r="V131" s="1"/>
    </row>
    <row r="132" spans="3:22">
      <c r="C132" s="14"/>
      <c r="D132" s="14"/>
      <c r="E132" s="14"/>
      <c r="F132" s="14"/>
      <c r="G132" s="1"/>
      <c r="J132" s="14"/>
      <c r="K132" s="14"/>
      <c r="L132" s="14"/>
      <c r="M132" s="14"/>
      <c r="N132" s="1"/>
      <c r="Q132" s="14"/>
      <c r="R132" s="14"/>
      <c r="S132" s="14"/>
      <c r="T132" s="14"/>
      <c r="U132" s="1"/>
    </row>
    <row r="133" spans="3:22">
      <c r="C133" s="14"/>
      <c r="D133" s="14"/>
      <c r="E133" s="14"/>
      <c r="F133" s="14"/>
      <c r="G133" s="1"/>
      <c r="H133" s="1"/>
      <c r="J133" s="14"/>
      <c r="K133" s="14"/>
      <c r="L133" s="14"/>
      <c r="M133" s="14"/>
      <c r="N133" s="1"/>
      <c r="O133" s="1"/>
      <c r="Q133" s="14"/>
      <c r="R133" s="14"/>
      <c r="S133" s="14"/>
      <c r="T133" s="14"/>
      <c r="U133" s="1"/>
      <c r="V133" s="1"/>
    </row>
    <row r="134" spans="3:22">
      <c r="C134" s="14"/>
      <c r="D134" s="14"/>
      <c r="E134" s="14"/>
      <c r="F134" s="14"/>
      <c r="H134" s="1"/>
      <c r="J134" s="14"/>
      <c r="K134" s="14"/>
      <c r="L134" s="14"/>
      <c r="M134" s="14"/>
      <c r="O134" s="1"/>
      <c r="Q134" s="14"/>
      <c r="R134" s="14"/>
      <c r="S134" s="14"/>
      <c r="T134" s="14"/>
      <c r="V134" s="1"/>
    </row>
    <row r="135" spans="3:22">
      <c r="C135" s="14"/>
      <c r="D135" s="14"/>
      <c r="E135" s="14"/>
      <c r="F135" s="14"/>
      <c r="G135" s="1"/>
      <c r="J135" s="14"/>
      <c r="K135" s="14"/>
      <c r="L135" s="14"/>
      <c r="M135" s="14"/>
      <c r="N135" s="1"/>
      <c r="Q135" s="14"/>
      <c r="R135" s="14"/>
      <c r="S135" s="14"/>
      <c r="T135" s="14"/>
      <c r="U135" s="1"/>
    </row>
    <row r="136" spans="3:22">
      <c r="C136" s="14"/>
      <c r="D136" s="14"/>
      <c r="E136" s="14"/>
      <c r="F136" s="14"/>
      <c r="G136" s="1"/>
      <c r="H136" s="1"/>
      <c r="J136" s="14"/>
      <c r="K136" s="14"/>
      <c r="L136" s="14"/>
      <c r="M136" s="14"/>
      <c r="N136" s="1"/>
      <c r="O136" s="1"/>
      <c r="Q136" s="14"/>
      <c r="R136" s="14"/>
      <c r="S136" s="14"/>
      <c r="T136" s="14"/>
      <c r="U136" s="1"/>
      <c r="V136" s="1"/>
    </row>
    <row r="137" spans="3:22">
      <c r="C137" s="14"/>
      <c r="D137" s="14"/>
      <c r="E137" s="14"/>
      <c r="F137" s="14"/>
      <c r="J137" s="14"/>
      <c r="K137" s="14"/>
      <c r="L137" s="14"/>
      <c r="M137" s="14"/>
      <c r="Q137" s="14"/>
      <c r="R137" s="14"/>
      <c r="S137" s="14"/>
      <c r="T137" s="14"/>
    </row>
    <row r="138" spans="3:22">
      <c r="C138" s="14"/>
      <c r="D138" s="14"/>
      <c r="E138" s="14"/>
      <c r="F138" s="14"/>
      <c r="G138" s="1"/>
      <c r="J138" s="14"/>
      <c r="K138" s="14"/>
      <c r="L138" s="14"/>
      <c r="M138" s="14"/>
      <c r="N138" s="1"/>
      <c r="Q138" s="14"/>
      <c r="R138" s="14"/>
      <c r="S138" s="14"/>
      <c r="T138" s="14"/>
      <c r="U138" s="1"/>
    </row>
    <row r="139" spans="3:22">
      <c r="C139" s="14"/>
      <c r="D139" s="14"/>
      <c r="E139" s="14"/>
      <c r="F139" s="14"/>
      <c r="G139" s="1"/>
      <c r="H139" s="1"/>
      <c r="J139" s="14"/>
      <c r="K139" s="14"/>
      <c r="L139" s="14"/>
      <c r="M139" s="14"/>
      <c r="N139" s="1"/>
      <c r="O139" s="1"/>
      <c r="Q139" s="14"/>
      <c r="R139" s="14"/>
      <c r="S139" s="14"/>
      <c r="T139" s="14"/>
      <c r="U139" s="1"/>
      <c r="V139" s="1"/>
    </row>
    <row r="140" spans="3:22">
      <c r="C140" s="14"/>
      <c r="D140" s="14"/>
      <c r="E140" s="14"/>
      <c r="F140" s="14"/>
      <c r="J140" s="14"/>
      <c r="K140" s="14"/>
      <c r="L140" s="14"/>
      <c r="M140" s="14"/>
      <c r="Q140" s="14"/>
      <c r="R140" s="14"/>
      <c r="S140" s="14"/>
      <c r="T140" s="14"/>
    </row>
    <row r="141" spans="3:22">
      <c r="C141" s="14"/>
      <c r="D141" s="14"/>
      <c r="E141" s="14"/>
      <c r="F141" s="14"/>
      <c r="J141" s="14"/>
      <c r="K141" s="14"/>
      <c r="L141" s="14"/>
      <c r="M141" s="14"/>
      <c r="Q141" s="14"/>
      <c r="R141" s="14"/>
      <c r="S141" s="14"/>
      <c r="T141" s="14"/>
    </row>
    <row r="142" spans="3:22">
      <c r="C142" s="14"/>
      <c r="D142" s="14"/>
      <c r="E142" s="14"/>
      <c r="F142" s="14"/>
      <c r="G142" s="1"/>
      <c r="J142" s="14"/>
      <c r="K142" s="14"/>
      <c r="L142" s="14"/>
      <c r="M142" s="14"/>
      <c r="N142" s="1"/>
      <c r="Q142" s="14"/>
      <c r="R142" s="14"/>
      <c r="S142" s="14"/>
      <c r="T142" s="14"/>
      <c r="U142" s="1"/>
    </row>
    <row r="143" spans="3:22">
      <c r="C143" s="14"/>
      <c r="D143" s="14"/>
      <c r="E143" s="14"/>
      <c r="F143" s="14"/>
      <c r="G143" s="1"/>
      <c r="J143" s="14"/>
      <c r="K143" s="14"/>
      <c r="L143" s="14"/>
      <c r="M143" s="14"/>
      <c r="N143" s="1"/>
      <c r="Q143" s="14"/>
      <c r="R143" s="14"/>
      <c r="S143" s="14"/>
      <c r="T143" s="14"/>
      <c r="U143" s="1"/>
    </row>
    <row r="144" spans="3:22">
      <c r="C144" s="14"/>
      <c r="D144" s="14"/>
      <c r="E144" s="14"/>
      <c r="F144" s="14"/>
      <c r="G144" s="1"/>
      <c r="H144" s="1"/>
      <c r="J144" s="14"/>
      <c r="K144" s="14"/>
      <c r="L144" s="14"/>
      <c r="M144" s="14"/>
      <c r="N144" s="1"/>
      <c r="O144" s="1"/>
      <c r="Q144" s="14"/>
      <c r="R144" s="14"/>
      <c r="S144" s="14"/>
      <c r="T144" s="14"/>
      <c r="U144" s="1"/>
      <c r="V144" s="1"/>
    </row>
    <row r="145" spans="3:22">
      <c r="C145" s="14"/>
      <c r="D145" s="14"/>
      <c r="E145" s="14"/>
      <c r="F145" s="14"/>
      <c r="H145" s="1"/>
      <c r="J145" s="14"/>
      <c r="K145" s="14"/>
      <c r="L145" s="14"/>
      <c r="M145" s="14"/>
      <c r="O145" s="1"/>
      <c r="Q145" s="14"/>
      <c r="R145" s="14"/>
      <c r="S145" s="14"/>
      <c r="T145" s="14"/>
      <c r="V145" s="1"/>
    </row>
    <row r="146" spans="3:22">
      <c r="C146" s="14"/>
      <c r="D146" s="14"/>
      <c r="E146" s="14"/>
      <c r="F146" s="14"/>
      <c r="G146" s="1"/>
      <c r="H146" s="1"/>
      <c r="J146" s="14"/>
      <c r="K146" s="14"/>
      <c r="L146" s="14"/>
      <c r="M146" s="14"/>
      <c r="N146" s="1"/>
      <c r="O146" s="1"/>
      <c r="Q146" s="14"/>
      <c r="R146" s="14"/>
      <c r="S146" s="14"/>
      <c r="T146" s="14"/>
      <c r="U146" s="1"/>
      <c r="V146" s="1"/>
    </row>
    <row r="147" spans="3:22">
      <c r="C147" s="14"/>
      <c r="D147" s="14"/>
      <c r="E147" s="14"/>
      <c r="F147" s="14"/>
      <c r="H147" s="1"/>
      <c r="J147" s="14"/>
      <c r="K147" s="14"/>
      <c r="L147" s="14"/>
      <c r="M147" s="14"/>
      <c r="O147" s="1"/>
      <c r="Q147" s="14"/>
      <c r="R147" s="14"/>
      <c r="S147" s="14"/>
      <c r="T147" s="14"/>
      <c r="V147" s="1"/>
    </row>
    <row r="148" spans="3:22">
      <c r="C148" s="14"/>
      <c r="D148" s="14"/>
      <c r="E148" s="14"/>
      <c r="F148" s="14"/>
      <c r="G148" s="1"/>
      <c r="H148" s="1"/>
      <c r="J148" s="14"/>
      <c r="K148" s="14"/>
      <c r="L148" s="14"/>
      <c r="M148" s="14"/>
      <c r="N148" s="1"/>
      <c r="O148" s="1"/>
      <c r="Q148" s="14"/>
      <c r="R148" s="14"/>
      <c r="S148" s="14"/>
      <c r="T148" s="14"/>
      <c r="U148" s="1"/>
      <c r="V148" s="1"/>
    </row>
    <row r="149" spans="3:22">
      <c r="C149" s="14"/>
      <c r="D149" s="14"/>
      <c r="E149" s="14"/>
      <c r="F149" s="14"/>
      <c r="G149" s="1"/>
      <c r="H149" s="1"/>
      <c r="J149" s="14"/>
      <c r="K149" s="14"/>
      <c r="L149" s="14"/>
      <c r="M149" s="14"/>
      <c r="N149" s="1"/>
      <c r="O149" s="1"/>
      <c r="Q149" s="14"/>
      <c r="R149" s="14"/>
      <c r="S149" s="14"/>
      <c r="T149" s="14"/>
      <c r="U149" s="1"/>
      <c r="V149" s="1"/>
    </row>
    <row r="150" spans="3:22">
      <c r="C150" s="14"/>
      <c r="D150" s="14"/>
      <c r="E150" s="14"/>
      <c r="F150" s="14"/>
      <c r="G150" s="1"/>
      <c r="J150" s="14"/>
      <c r="K150" s="14"/>
      <c r="L150" s="14"/>
      <c r="M150" s="14"/>
      <c r="N150" s="1"/>
      <c r="Q150" s="14"/>
      <c r="R150" s="14"/>
      <c r="S150" s="14"/>
      <c r="T150" s="14"/>
      <c r="U150" s="1"/>
    </row>
    <row r="151" spans="3:22">
      <c r="C151" s="14"/>
      <c r="D151" s="14"/>
      <c r="E151" s="14"/>
      <c r="F151" s="14"/>
      <c r="G151" s="1"/>
      <c r="H151" s="1"/>
      <c r="J151" s="14"/>
      <c r="K151" s="14"/>
      <c r="L151" s="14"/>
      <c r="M151" s="14"/>
      <c r="N151" s="1"/>
      <c r="O151" s="1"/>
      <c r="Q151" s="14"/>
      <c r="R151" s="14"/>
      <c r="S151" s="14"/>
      <c r="T151" s="14"/>
      <c r="U151" s="1"/>
      <c r="V151" s="1"/>
    </row>
    <row r="152" spans="3:22">
      <c r="C152" s="14"/>
      <c r="D152" s="14"/>
      <c r="E152" s="14"/>
      <c r="F152" s="14"/>
      <c r="G152" s="1"/>
      <c r="H152" s="1"/>
      <c r="J152" s="14"/>
      <c r="K152" s="14"/>
      <c r="L152" s="14"/>
      <c r="M152" s="14"/>
      <c r="N152" s="1"/>
      <c r="O152" s="1"/>
      <c r="Q152" s="14"/>
      <c r="R152" s="14"/>
      <c r="S152" s="14"/>
      <c r="T152" s="14"/>
      <c r="U152" s="1"/>
      <c r="V152" s="1"/>
    </row>
    <row r="153" spans="3:22">
      <c r="C153" s="14"/>
      <c r="D153" s="14"/>
      <c r="E153" s="14"/>
      <c r="F153" s="14"/>
      <c r="G153" s="1"/>
      <c r="H153" s="1"/>
      <c r="J153" s="14"/>
      <c r="K153" s="14"/>
      <c r="L153" s="14"/>
      <c r="M153" s="14"/>
      <c r="N153" s="1"/>
      <c r="O153" s="1"/>
      <c r="Q153" s="14"/>
      <c r="R153" s="14"/>
      <c r="S153" s="14"/>
      <c r="T153" s="14"/>
      <c r="U153" s="1"/>
      <c r="V153" s="1"/>
    </row>
    <row r="154" spans="3:22">
      <c r="C154" s="14"/>
      <c r="D154" s="14"/>
      <c r="E154" s="14"/>
      <c r="F154" s="14"/>
      <c r="G154" s="1"/>
      <c r="H154" s="1"/>
      <c r="J154" s="14"/>
      <c r="K154" s="14"/>
      <c r="L154" s="14"/>
      <c r="M154" s="14"/>
      <c r="N154" s="1"/>
      <c r="O154" s="1"/>
      <c r="Q154" s="14"/>
      <c r="R154" s="14"/>
      <c r="S154" s="14"/>
      <c r="T154" s="14"/>
      <c r="U154" s="1"/>
      <c r="V154" s="1"/>
    </row>
    <row r="155" spans="3:22">
      <c r="C155" s="14"/>
      <c r="D155" s="14"/>
      <c r="E155" s="14"/>
      <c r="F155" s="14"/>
      <c r="H155" s="1"/>
      <c r="J155" s="14"/>
      <c r="K155" s="14"/>
      <c r="L155" s="14"/>
      <c r="M155" s="14"/>
      <c r="O155" s="1"/>
      <c r="Q155" s="14"/>
      <c r="R155" s="14"/>
      <c r="S155" s="14"/>
      <c r="T155" s="14"/>
      <c r="V155" s="1"/>
    </row>
    <row r="156" spans="3:22">
      <c r="C156" s="14"/>
      <c r="D156" s="14"/>
      <c r="E156" s="14"/>
      <c r="F156" s="14"/>
      <c r="G156" s="1"/>
      <c r="H156" s="1"/>
      <c r="J156" s="14"/>
      <c r="K156" s="14"/>
      <c r="L156" s="14"/>
      <c r="M156" s="14"/>
      <c r="N156" s="1"/>
      <c r="O156" s="1"/>
      <c r="Q156" s="14"/>
      <c r="R156" s="14"/>
      <c r="S156" s="14"/>
      <c r="T156" s="14"/>
      <c r="U156" s="1"/>
      <c r="V156" s="1"/>
    </row>
    <row r="157" spans="3:22">
      <c r="C157" s="14"/>
      <c r="D157" s="14"/>
      <c r="E157" s="14"/>
      <c r="F157" s="14"/>
      <c r="G157" s="1"/>
      <c r="H157" s="1"/>
      <c r="J157" s="14"/>
      <c r="K157" s="14"/>
      <c r="L157" s="14"/>
      <c r="M157" s="14"/>
      <c r="N157" s="1"/>
      <c r="O157" s="1"/>
      <c r="Q157" s="14"/>
      <c r="R157" s="14"/>
      <c r="S157" s="14"/>
      <c r="T157" s="14"/>
      <c r="U157" s="1"/>
      <c r="V157" s="1"/>
    </row>
    <row r="158" spans="3:22">
      <c r="C158" s="14"/>
      <c r="D158" s="14"/>
      <c r="E158" s="14"/>
      <c r="F158" s="14"/>
      <c r="G158" s="1"/>
      <c r="H158" s="1"/>
      <c r="J158" s="14"/>
      <c r="K158" s="14"/>
      <c r="L158" s="14"/>
      <c r="M158" s="14"/>
      <c r="N158" s="1"/>
      <c r="O158" s="1"/>
      <c r="Q158" s="14"/>
      <c r="R158" s="14"/>
      <c r="S158" s="14"/>
      <c r="T158" s="14"/>
      <c r="U158" s="1"/>
      <c r="V158" s="1"/>
    </row>
    <row r="159" spans="3:22">
      <c r="C159" s="14"/>
      <c r="D159" s="14"/>
      <c r="E159" s="14"/>
      <c r="F159" s="14"/>
      <c r="G159" s="1"/>
      <c r="H159" s="1"/>
      <c r="J159" s="14"/>
      <c r="K159" s="14"/>
      <c r="L159" s="14"/>
      <c r="M159" s="14"/>
      <c r="N159" s="1"/>
      <c r="O159" s="1"/>
      <c r="Q159" s="14"/>
      <c r="R159" s="14"/>
      <c r="S159" s="14"/>
      <c r="T159" s="14"/>
      <c r="U159" s="1"/>
      <c r="V159" s="1"/>
    </row>
    <row r="160" spans="3:22">
      <c r="C160" s="14"/>
      <c r="D160" s="14"/>
      <c r="E160" s="14"/>
      <c r="F160" s="14"/>
      <c r="G160" s="1"/>
      <c r="H160" s="1"/>
      <c r="J160" s="14"/>
      <c r="K160" s="14"/>
      <c r="L160" s="14"/>
      <c r="M160" s="14"/>
      <c r="N160" s="1"/>
      <c r="O160" s="1"/>
      <c r="Q160" s="14"/>
      <c r="R160" s="14"/>
      <c r="S160" s="14"/>
      <c r="T160" s="14"/>
      <c r="U160" s="1"/>
      <c r="V160" s="1"/>
    </row>
    <row r="161" spans="3:22">
      <c r="C161" s="14"/>
      <c r="D161" s="14"/>
      <c r="E161" s="14"/>
      <c r="F161" s="14"/>
      <c r="G161" s="1"/>
      <c r="H161" s="1"/>
      <c r="J161" s="14"/>
      <c r="K161" s="14"/>
      <c r="L161" s="14"/>
      <c r="M161" s="14"/>
      <c r="N161" s="1"/>
      <c r="O161" s="1"/>
      <c r="Q161" s="14"/>
      <c r="R161" s="14"/>
      <c r="S161" s="14"/>
      <c r="T161" s="14"/>
      <c r="U161" s="1"/>
      <c r="V161" s="1"/>
    </row>
    <row r="162" spans="3:22">
      <c r="C162" s="14"/>
      <c r="D162" s="14"/>
      <c r="E162" s="14"/>
      <c r="F162" s="14"/>
      <c r="G162" s="1"/>
      <c r="H162" s="1"/>
      <c r="J162" s="14"/>
      <c r="K162" s="14"/>
      <c r="L162" s="14"/>
      <c r="M162" s="14"/>
      <c r="N162" s="1"/>
      <c r="O162" s="1"/>
      <c r="Q162" s="14"/>
      <c r="R162" s="14"/>
      <c r="S162" s="14"/>
      <c r="T162" s="14"/>
      <c r="U162" s="1"/>
      <c r="V162" s="1"/>
    </row>
    <row r="163" spans="3:22">
      <c r="C163" s="14"/>
      <c r="D163" s="14"/>
      <c r="E163" s="14"/>
      <c r="F163" s="14"/>
      <c r="H163" s="1"/>
      <c r="J163" s="14"/>
      <c r="K163" s="14"/>
      <c r="L163" s="14"/>
      <c r="M163" s="14"/>
      <c r="O163" s="1"/>
      <c r="Q163" s="14"/>
      <c r="R163" s="14"/>
      <c r="S163" s="14"/>
      <c r="T163" s="14"/>
      <c r="V163" s="1"/>
    </row>
    <row r="164" spans="3:22">
      <c r="C164" s="14"/>
      <c r="D164" s="14"/>
      <c r="E164" s="14"/>
      <c r="F164" s="14"/>
      <c r="G164" s="1"/>
      <c r="J164" s="14"/>
      <c r="K164" s="14"/>
      <c r="L164" s="14"/>
      <c r="M164" s="14"/>
      <c r="N164" s="1"/>
      <c r="Q164" s="14"/>
      <c r="R164" s="14"/>
      <c r="S164" s="14"/>
      <c r="T164" s="14"/>
      <c r="U164" s="1"/>
    </row>
    <row r="165" spans="3:22">
      <c r="C165" s="14"/>
      <c r="D165" s="14"/>
      <c r="E165" s="14"/>
      <c r="F165" s="14"/>
      <c r="H165" s="1"/>
      <c r="J165" s="14"/>
      <c r="K165" s="14"/>
      <c r="L165" s="14"/>
      <c r="M165" s="14"/>
      <c r="O165" s="1"/>
      <c r="Q165" s="14"/>
      <c r="R165" s="14"/>
      <c r="S165" s="14"/>
      <c r="T165" s="14"/>
      <c r="V165" s="1"/>
    </row>
    <row r="166" spans="3:22">
      <c r="C166" s="14"/>
      <c r="D166" s="14"/>
      <c r="E166" s="14"/>
      <c r="F166" s="14"/>
      <c r="G166" s="1"/>
      <c r="J166" s="14"/>
      <c r="K166" s="14"/>
      <c r="L166" s="14"/>
      <c r="M166" s="14"/>
      <c r="N166" s="1"/>
      <c r="Q166" s="14"/>
      <c r="R166" s="14"/>
      <c r="S166" s="14"/>
      <c r="T166" s="14"/>
      <c r="U166" s="1"/>
    </row>
    <row r="167" spans="3:22">
      <c r="C167" s="14"/>
      <c r="D167" s="14"/>
      <c r="E167" s="14"/>
      <c r="F167" s="14"/>
      <c r="G167" s="1"/>
      <c r="J167" s="14"/>
      <c r="K167" s="14"/>
      <c r="L167" s="14"/>
      <c r="M167" s="14"/>
      <c r="N167" s="1"/>
      <c r="Q167" s="14"/>
      <c r="R167" s="14"/>
      <c r="S167" s="14"/>
      <c r="T167" s="14"/>
      <c r="U167" s="1"/>
    </row>
    <row r="168" spans="3:22">
      <c r="C168" s="14"/>
      <c r="D168" s="14"/>
      <c r="E168" s="14"/>
      <c r="F168" s="14"/>
      <c r="G168" s="1"/>
      <c r="H168" s="1"/>
      <c r="J168" s="14"/>
      <c r="K168" s="14"/>
      <c r="L168" s="14"/>
      <c r="M168" s="14"/>
      <c r="N168" s="1"/>
      <c r="O168" s="1"/>
      <c r="Q168" s="14"/>
      <c r="R168" s="14"/>
      <c r="S168" s="14"/>
      <c r="T168" s="14"/>
      <c r="U168" s="1"/>
      <c r="V168" s="1"/>
    </row>
    <row r="169" spans="3:22">
      <c r="C169" s="14"/>
      <c r="D169" s="14"/>
      <c r="E169" s="14"/>
      <c r="F169" s="14"/>
      <c r="G169" s="1"/>
      <c r="H169" s="1"/>
      <c r="J169" s="14"/>
      <c r="K169" s="14"/>
      <c r="L169" s="14"/>
      <c r="M169" s="14"/>
      <c r="N169" s="1"/>
      <c r="O169" s="1"/>
      <c r="Q169" s="14"/>
      <c r="R169" s="14"/>
      <c r="S169" s="14"/>
      <c r="T169" s="14"/>
      <c r="U169" s="1"/>
      <c r="V169" s="1"/>
    </row>
    <row r="170" spans="3:22">
      <c r="C170" s="14"/>
      <c r="D170" s="14"/>
      <c r="E170" s="14"/>
      <c r="F170" s="14"/>
      <c r="G170" s="1"/>
      <c r="H170" s="1"/>
      <c r="J170" s="14"/>
      <c r="K170" s="14"/>
      <c r="L170" s="14"/>
      <c r="M170" s="14"/>
      <c r="N170" s="1"/>
      <c r="O170" s="1"/>
      <c r="Q170" s="14"/>
      <c r="R170" s="14"/>
      <c r="S170" s="14"/>
      <c r="T170" s="14"/>
      <c r="U170" s="1"/>
      <c r="V170" s="1"/>
    </row>
    <row r="171" spans="3:22">
      <c r="C171" s="14"/>
      <c r="D171" s="14"/>
      <c r="E171" s="14"/>
      <c r="F171" s="14"/>
      <c r="G171" s="1"/>
      <c r="H171" s="1"/>
      <c r="J171" s="14"/>
      <c r="K171" s="14"/>
      <c r="L171" s="14"/>
      <c r="M171" s="14"/>
      <c r="N171" s="1"/>
      <c r="O171" s="1"/>
      <c r="Q171" s="14"/>
      <c r="R171" s="14"/>
      <c r="S171" s="14"/>
      <c r="T171" s="14"/>
      <c r="U171" s="1"/>
      <c r="V171" s="1"/>
    </row>
    <row r="172" spans="3:22">
      <c r="C172" s="14"/>
      <c r="D172" s="14"/>
      <c r="E172" s="14"/>
      <c r="F172" s="14"/>
      <c r="G172" s="1"/>
      <c r="H172" s="1"/>
      <c r="J172" s="14"/>
      <c r="K172" s="14"/>
      <c r="L172" s="14"/>
      <c r="M172" s="14"/>
      <c r="N172" s="1"/>
      <c r="O172" s="1"/>
      <c r="Q172" s="14"/>
      <c r="R172" s="14"/>
      <c r="S172" s="14"/>
      <c r="T172" s="14"/>
      <c r="U172" s="1"/>
      <c r="V172" s="1"/>
    </row>
    <row r="173" spans="3:22">
      <c r="C173" s="14"/>
      <c r="D173" s="14"/>
      <c r="E173" s="14"/>
      <c r="F173" s="14"/>
      <c r="G173" s="1"/>
      <c r="H173" s="1"/>
      <c r="J173" s="14"/>
      <c r="K173" s="14"/>
      <c r="L173" s="14"/>
      <c r="M173" s="14"/>
      <c r="N173" s="1"/>
      <c r="O173" s="1"/>
      <c r="Q173" s="14"/>
      <c r="R173" s="14"/>
      <c r="S173" s="14"/>
      <c r="T173" s="14"/>
      <c r="U173" s="1"/>
      <c r="V173" s="1"/>
    </row>
    <row r="174" spans="3:22">
      <c r="C174" s="14"/>
      <c r="D174" s="14"/>
      <c r="E174" s="14"/>
      <c r="F174" s="14"/>
      <c r="G174" s="1"/>
      <c r="H174" s="1"/>
      <c r="J174" s="14"/>
      <c r="K174" s="14"/>
      <c r="L174" s="14"/>
      <c r="M174" s="14"/>
      <c r="N174" s="1"/>
      <c r="O174" s="1"/>
      <c r="Q174" s="14"/>
      <c r="R174" s="14"/>
      <c r="S174" s="14"/>
      <c r="T174" s="14"/>
      <c r="U174" s="1"/>
      <c r="V174" s="1"/>
    </row>
    <row r="175" spans="3:22">
      <c r="C175" s="14"/>
      <c r="D175" s="14"/>
      <c r="E175" s="14"/>
      <c r="F175" s="14"/>
      <c r="G175" s="1"/>
      <c r="H175" s="1"/>
      <c r="J175" s="14"/>
      <c r="K175" s="14"/>
      <c r="L175" s="14"/>
      <c r="M175" s="14"/>
      <c r="N175" s="1"/>
      <c r="O175" s="1"/>
      <c r="Q175" s="14"/>
      <c r="R175" s="14"/>
      <c r="S175" s="14"/>
      <c r="T175" s="14"/>
      <c r="U175" s="1"/>
      <c r="V175" s="1"/>
    </row>
    <row r="176" spans="3:22">
      <c r="C176" s="14"/>
      <c r="D176" s="14"/>
      <c r="E176" s="14"/>
      <c r="F176" s="14"/>
      <c r="G176" s="1"/>
      <c r="J176" s="14"/>
      <c r="K176" s="14"/>
      <c r="L176" s="14"/>
      <c r="M176" s="14"/>
      <c r="N176" s="1"/>
      <c r="Q176" s="14"/>
      <c r="R176" s="14"/>
      <c r="S176" s="14"/>
      <c r="T176" s="14"/>
      <c r="U176" s="1"/>
    </row>
    <row r="177" spans="3:22">
      <c r="C177" s="14"/>
      <c r="D177" s="14"/>
      <c r="E177" s="14"/>
      <c r="F177" s="14"/>
      <c r="H177" s="1"/>
      <c r="J177" s="14"/>
      <c r="K177" s="14"/>
      <c r="L177" s="14"/>
      <c r="M177" s="14"/>
      <c r="O177" s="1"/>
      <c r="Q177" s="14"/>
      <c r="R177" s="14"/>
      <c r="S177" s="14"/>
      <c r="T177" s="14"/>
      <c r="V177" s="1"/>
    </row>
    <row r="178" spans="3:22">
      <c r="C178" s="14"/>
      <c r="D178" s="14"/>
      <c r="E178" s="14"/>
      <c r="F178" s="14"/>
      <c r="G178" s="1"/>
      <c r="H178" s="1"/>
      <c r="J178" s="14"/>
      <c r="K178" s="14"/>
      <c r="L178" s="14"/>
      <c r="M178" s="14"/>
      <c r="N178" s="1"/>
      <c r="O178" s="1"/>
      <c r="Q178" s="14"/>
      <c r="R178" s="14"/>
      <c r="S178" s="14"/>
      <c r="T178" s="14"/>
      <c r="U178" s="1"/>
      <c r="V178" s="1"/>
    </row>
    <row r="179" spans="3:22">
      <c r="C179" s="14"/>
      <c r="D179" s="14"/>
      <c r="E179" s="14"/>
      <c r="F179" s="14"/>
      <c r="G179" s="1"/>
      <c r="H179" s="1"/>
      <c r="J179" s="14"/>
      <c r="K179" s="14"/>
      <c r="L179" s="14"/>
      <c r="M179" s="14"/>
      <c r="N179" s="1"/>
      <c r="O179" s="1"/>
      <c r="Q179" s="14"/>
      <c r="R179" s="14"/>
      <c r="S179" s="14"/>
      <c r="T179" s="14"/>
      <c r="U179" s="1"/>
      <c r="V179" s="1"/>
    </row>
    <row r="180" spans="3:22">
      <c r="C180" s="14"/>
      <c r="D180" s="14"/>
      <c r="E180" s="14"/>
      <c r="F180" s="14"/>
      <c r="G180" s="1"/>
      <c r="H180" s="1"/>
      <c r="J180" s="14"/>
      <c r="K180" s="14"/>
      <c r="L180" s="14"/>
      <c r="M180" s="14"/>
      <c r="N180" s="1"/>
      <c r="O180" s="1"/>
      <c r="Q180" s="14"/>
      <c r="R180" s="14"/>
      <c r="S180" s="14"/>
      <c r="T180" s="14"/>
      <c r="U180" s="1"/>
      <c r="V180" s="1"/>
    </row>
    <row r="181" spans="3:22">
      <c r="C181" s="14"/>
      <c r="D181" s="14"/>
      <c r="E181" s="14"/>
      <c r="F181" s="14"/>
      <c r="G181" s="1"/>
      <c r="H181" s="1"/>
      <c r="J181" s="14"/>
      <c r="K181" s="14"/>
      <c r="L181" s="14"/>
      <c r="M181" s="14"/>
      <c r="N181" s="1"/>
      <c r="O181" s="1"/>
      <c r="Q181" s="14"/>
      <c r="R181" s="14"/>
      <c r="S181" s="14"/>
      <c r="T181" s="14"/>
      <c r="U181" s="1"/>
      <c r="V181" s="1"/>
    </row>
    <row r="182" spans="3:22">
      <c r="C182" s="14"/>
      <c r="D182" s="14"/>
      <c r="E182" s="14"/>
      <c r="F182" s="14"/>
      <c r="G182" s="1"/>
      <c r="H182" s="1"/>
      <c r="J182" s="14"/>
      <c r="K182" s="14"/>
      <c r="L182" s="14"/>
      <c r="M182" s="14"/>
      <c r="N182" s="1"/>
      <c r="O182" s="1"/>
      <c r="Q182" s="14"/>
      <c r="R182" s="14"/>
      <c r="S182" s="14"/>
      <c r="T182" s="14"/>
      <c r="U182" s="1"/>
      <c r="V182" s="1"/>
    </row>
    <row r="183" spans="3:22">
      <c r="C183" s="14"/>
      <c r="D183" s="14"/>
      <c r="E183" s="14"/>
      <c r="F183" s="14"/>
      <c r="G183" s="1"/>
      <c r="H183" s="1"/>
      <c r="J183" s="14"/>
      <c r="K183" s="14"/>
      <c r="L183" s="14"/>
      <c r="M183" s="14"/>
      <c r="N183" s="1"/>
      <c r="O183" s="1"/>
      <c r="Q183" s="14"/>
      <c r="R183" s="14"/>
      <c r="S183" s="14"/>
      <c r="T183" s="14"/>
      <c r="U183" s="1"/>
      <c r="V183" s="1"/>
    </row>
    <row r="184" spans="3:22">
      <c r="C184" s="14"/>
      <c r="D184" s="14"/>
      <c r="E184" s="14"/>
      <c r="F184" s="14"/>
      <c r="G184" s="1"/>
      <c r="H184" s="1"/>
      <c r="J184" s="14"/>
      <c r="K184" s="14"/>
      <c r="L184" s="14"/>
      <c r="M184" s="14"/>
      <c r="N184" s="1"/>
      <c r="O184" s="1"/>
      <c r="Q184" s="14"/>
      <c r="R184" s="14"/>
      <c r="S184" s="14"/>
      <c r="T184" s="14"/>
      <c r="U184" s="1"/>
      <c r="V184" s="1"/>
    </row>
    <row r="185" spans="3:22">
      <c r="C185" s="14"/>
      <c r="D185" s="14"/>
      <c r="E185" s="14"/>
      <c r="F185" s="14"/>
      <c r="G185" s="1"/>
      <c r="H185" s="1"/>
      <c r="J185" s="14"/>
      <c r="K185" s="14"/>
      <c r="L185" s="14"/>
      <c r="M185" s="14"/>
      <c r="N185" s="1"/>
      <c r="O185" s="1"/>
      <c r="Q185" s="14"/>
      <c r="R185" s="14"/>
      <c r="S185" s="14"/>
      <c r="T185" s="14"/>
      <c r="U185" s="1"/>
      <c r="V185" s="1"/>
    </row>
    <row r="186" spans="3:22">
      <c r="C186" s="14"/>
      <c r="D186" s="14"/>
      <c r="E186" s="14"/>
      <c r="F186" s="14"/>
      <c r="G186" s="1"/>
      <c r="H186" s="1"/>
      <c r="J186" s="14"/>
      <c r="K186" s="14"/>
      <c r="L186" s="14"/>
      <c r="M186" s="14"/>
      <c r="N186" s="1"/>
      <c r="O186" s="1"/>
      <c r="Q186" s="14"/>
      <c r="R186" s="14"/>
      <c r="S186" s="14"/>
      <c r="T186" s="14"/>
      <c r="U186" s="1"/>
      <c r="V186" s="1"/>
    </row>
    <row r="187" spans="3:22">
      <c r="C187" s="14"/>
      <c r="D187" s="14"/>
      <c r="E187" s="14"/>
      <c r="F187" s="14"/>
      <c r="G187" s="1"/>
      <c r="H187" s="1"/>
      <c r="J187" s="14"/>
      <c r="K187" s="14"/>
      <c r="L187" s="14"/>
      <c r="M187" s="14"/>
      <c r="N187" s="1"/>
      <c r="O187" s="1"/>
      <c r="Q187" s="14"/>
      <c r="R187" s="14"/>
      <c r="S187" s="14"/>
      <c r="T187" s="14"/>
      <c r="U187" s="1"/>
      <c r="V187" s="1"/>
    </row>
    <row r="188" spans="3:22">
      <c r="C188" s="14"/>
      <c r="D188" s="14"/>
      <c r="E188" s="14"/>
      <c r="F188" s="14"/>
      <c r="H188" s="1"/>
      <c r="J188" s="14"/>
      <c r="K188" s="14"/>
      <c r="L188" s="14"/>
      <c r="M188" s="14"/>
      <c r="O188" s="1"/>
      <c r="Q188" s="14"/>
      <c r="R188" s="14"/>
      <c r="S188" s="14"/>
      <c r="T188" s="14"/>
      <c r="V188" s="1"/>
    </row>
    <row r="189" spans="3:22">
      <c r="C189" s="14"/>
      <c r="D189" s="14"/>
      <c r="E189" s="14"/>
      <c r="F189" s="14"/>
      <c r="G189" s="1"/>
      <c r="H189" s="1"/>
      <c r="J189" s="14"/>
      <c r="K189" s="14"/>
      <c r="L189" s="14"/>
      <c r="M189" s="14"/>
      <c r="N189" s="1"/>
      <c r="O189" s="1"/>
      <c r="Q189" s="14"/>
      <c r="R189" s="14"/>
      <c r="S189" s="14"/>
      <c r="T189" s="14"/>
      <c r="U189" s="1"/>
      <c r="V189" s="1"/>
    </row>
    <row r="190" spans="3:22">
      <c r="C190" s="14"/>
      <c r="D190" s="14"/>
      <c r="E190" s="14"/>
      <c r="F190" s="14"/>
      <c r="G190" s="1"/>
      <c r="H190" s="1"/>
      <c r="J190" s="14"/>
      <c r="K190" s="14"/>
      <c r="L190" s="14"/>
      <c r="M190" s="14"/>
      <c r="N190" s="1"/>
      <c r="O190" s="1"/>
      <c r="Q190" s="14"/>
      <c r="R190" s="14"/>
      <c r="S190" s="14"/>
      <c r="T190" s="14"/>
      <c r="U190" s="1"/>
      <c r="V190" s="1"/>
    </row>
    <row r="191" spans="3:22">
      <c r="C191" s="14"/>
      <c r="D191" s="14"/>
      <c r="E191" s="14"/>
      <c r="F191" s="14"/>
      <c r="G191" s="1"/>
      <c r="J191" s="14"/>
      <c r="K191" s="14"/>
      <c r="L191" s="14"/>
      <c r="M191" s="14"/>
      <c r="N191" s="1"/>
      <c r="Q191" s="14"/>
      <c r="R191" s="14"/>
      <c r="S191" s="14"/>
      <c r="T191" s="14"/>
      <c r="U191" s="1"/>
    </row>
    <row r="192" spans="3:22">
      <c r="C192" s="14"/>
      <c r="D192" s="14"/>
      <c r="E192" s="14"/>
      <c r="F192" s="14"/>
      <c r="G192" s="1"/>
      <c r="H192" s="1"/>
      <c r="J192" s="14"/>
      <c r="K192" s="14"/>
      <c r="L192" s="14"/>
      <c r="M192" s="14"/>
      <c r="N192" s="1"/>
      <c r="O192" s="1"/>
      <c r="Q192" s="14"/>
      <c r="R192" s="14"/>
      <c r="S192" s="14"/>
      <c r="T192" s="14"/>
      <c r="U192" s="1"/>
      <c r="V192" s="1"/>
    </row>
    <row r="193" spans="3:22">
      <c r="C193" s="14"/>
      <c r="D193" s="14"/>
      <c r="E193" s="14"/>
      <c r="F193" s="14"/>
      <c r="G193" s="1"/>
      <c r="H193" s="1"/>
      <c r="J193" s="14"/>
      <c r="K193" s="14"/>
      <c r="L193" s="14"/>
      <c r="M193" s="14"/>
      <c r="N193" s="1"/>
      <c r="O193" s="1"/>
      <c r="Q193" s="14"/>
      <c r="R193" s="14"/>
      <c r="S193" s="14"/>
      <c r="T193" s="14"/>
      <c r="U193" s="1"/>
      <c r="V193" s="1"/>
    </row>
    <row r="194" spans="3:22">
      <c r="C194" s="14"/>
      <c r="D194" s="14"/>
      <c r="E194" s="14"/>
      <c r="F194" s="14"/>
      <c r="G194" s="1"/>
      <c r="H194" s="1"/>
      <c r="J194" s="14"/>
      <c r="K194" s="14"/>
      <c r="L194" s="14"/>
      <c r="M194" s="14"/>
      <c r="N194" s="1"/>
      <c r="O194" s="1"/>
      <c r="Q194" s="14"/>
      <c r="R194" s="14"/>
      <c r="S194" s="14"/>
      <c r="T194" s="14"/>
      <c r="U194" s="1"/>
      <c r="V194" s="1"/>
    </row>
    <row r="195" spans="3:22">
      <c r="C195" s="14"/>
      <c r="D195" s="14"/>
      <c r="E195" s="14"/>
      <c r="F195" s="14"/>
      <c r="G195" s="1"/>
      <c r="J195" s="14"/>
      <c r="K195" s="14"/>
      <c r="L195" s="14"/>
      <c r="M195" s="14"/>
      <c r="N195" s="1"/>
      <c r="Q195" s="14"/>
      <c r="R195" s="14"/>
      <c r="S195" s="14"/>
      <c r="T195" s="14"/>
      <c r="U195" s="1"/>
    </row>
    <row r="196" spans="3:22">
      <c r="C196" s="14"/>
      <c r="D196" s="14"/>
      <c r="E196" s="14"/>
      <c r="F196" s="14"/>
      <c r="G196" s="1"/>
      <c r="J196" s="14"/>
      <c r="K196" s="14"/>
      <c r="L196" s="14"/>
      <c r="M196" s="14"/>
      <c r="N196" s="1"/>
      <c r="Q196" s="14"/>
      <c r="R196" s="14"/>
      <c r="S196" s="14"/>
      <c r="T196" s="14"/>
      <c r="U196" s="1"/>
    </row>
    <row r="197" spans="3:22">
      <c r="C197" s="14"/>
      <c r="D197" s="14"/>
      <c r="E197" s="14"/>
      <c r="F197" s="14"/>
      <c r="G197" s="1"/>
      <c r="H197" s="1"/>
      <c r="J197" s="14"/>
      <c r="K197" s="14"/>
      <c r="L197" s="14"/>
      <c r="M197" s="14"/>
      <c r="N197" s="1"/>
      <c r="O197" s="1"/>
      <c r="Q197" s="14"/>
      <c r="R197" s="14"/>
      <c r="S197" s="14"/>
      <c r="T197" s="14"/>
      <c r="U197" s="1"/>
      <c r="V197" s="1"/>
    </row>
    <row r="198" spans="3:22">
      <c r="C198" s="14"/>
      <c r="D198" s="14"/>
      <c r="E198" s="14"/>
      <c r="F198" s="14"/>
      <c r="G198" s="1"/>
      <c r="H198" s="1"/>
      <c r="J198" s="14"/>
      <c r="K198" s="14"/>
      <c r="L198" s="14"/>
      <c r="M198" s="14"/>
      <c r="N198" s="1"/>
      <c r="O198" s="1"/>
      <c r="Q198" s="14"/>
      <c r="R198" s="14"/>
      <c r="S198" s="14"/>
      <c r="T198" s="14"/>
      <c r="U198" s="1"/>
      <c r="V198" s="1"/>
    </row>
    <row r="199" spans="3:22">
      <c r="C199" s="14"/>
      <c r="D199" s="14"/>
      <c r="E199" s="14"/>
      <c r="F199" s="14"/>
      <c r="G199" s="1"/>
      <c r="H199" s="1"/>
      <c r="J199" s="14"/>
      <c r="K199" s="14"/>
      <c r="L199" s="14"/>
      <c r="M199" s="14"/>
      <c r="N199" s="1"/>
      <c r="O199" s="1"/>
      <c r="Q199" s="14"/>
      <c r="R199" s="14"/>
      <c r="S199" s="14"/>
      <c r="T199" s="14"/>
      <c r="U199" s="1"/>
      <c r="V199" s="1"/>
    </row>
    <row r="200" spans="3:22">
      <c r="C200" s="14"/>
      <c r="D200" s="14"/>
      <c r="E200" s="14"/>
      <c r="F200" s="14"/>
      <c r="G200" s="1"/>
      <c r="H200" s="1"/>
      <c r="J200" s="14"/>
      <c r="K200" s="14"/>
      <c r="L200" s="14"/>
      <c r="M200" s="14"/>
      <c r="N200" s="1"/>
      <c r="O200" s="1"/>
      <c r="Q200" s="14"/>
      <c r="R200" s="14"/>
      <c r="S200" s="14"/>
      <c r="T200" s="14"/>
      <c r="U200" s="1"/>
      <c r="V200" s="1"/>
    </row>
    <row r="201" spans="3:22">
      <c r="C201" s="14"/>
      <c r="D201" s="14"/>
      <c r="E201" s="14"/>
      <c r="F201" s="14"/>
      <c r="G201" s="1"/>
      <c r="H201" s="1"/>
      <c r="J201" s="14"/>
      <c r="K201" s="14"/>
      <c r="L201" s="14"/>
      <c r="M201" s="14"/>
      <c r="N201" s="1"/>
      <c r="O201" s="1"/>
      <c r="Q201" s="14"/>
      <c r="R201" s="14"/>
      <c r="S201" s="14"/>
      <c r="T201" s="14"/>
      <c r="U201" s="1"/>
      <c r="V201" s="1"/>
    </row>
    <row r="202" spans="3:22">
      <c r="C202" s="14"/>
      <c r="D202" s="14"/>
      <c r="E202" s="14"/>
      <c r="F202" s="14"/>
      <c r="H202" s="1"/>
      <c r="J202" s="14"/>
      <c r="K202" s="14"/>
      <c r="L202" s="14"/>
      <c r="M202" s="14"/>
      <c r="O202" s="1"/>
      <c r="Q202" s="14"/>
      <c r="R202" s="14"/>
      <c r="S202" s="14"/>
      <c r="T202" s="14"/>
      <c r="V202" s="1"/>
    </row>
    <row r="203" spans="3:22">
      <c r="C203" s="14"/>
      <c r="D203" s="14"/>
      <c r="E203" s="14"/>
      <c r="F203" s="14"/>
      <c r="G203" s="1"/>
      <c r="H203" s="1"/>
      <c r="J203" s="14"/>
      <c r="K203" s="14"/>
      <c r="L203" s="14"/>
      <c r="M203" s="14"/>
      <c r="N203" s="1"/>
      <c r="O203" s="1"/>
      <c r="Q203" s="14"/>
      <c r="R203" s="14"/>
      <c r="S203" s="14"/>
      <c r="T203" s="14"/>
      <c r="U203" s="1"/>
      <c r="V203" s="1"/>
    </row>
    <row r="204" spans="3:22">
      <c r="C204" s="14"/>
      <c r="D204" s="14"/>
      <c r="E204" s="14"/>
      <c r="F204" s="14"/>
      <c r="G204" s="1"/>
      <c r="H204" s="1"/>
      <c r="J204" s="14"/>
      <c r="K204" s="14"/>
      <c r="L204" s="14"/>
      <c r="M204" s="14"/>
      <c r="N204" s="1"/>
      <c r="O204" s="1"/>
      <c r="Q204" s="14"/>
      <c r="R204" s="14"/>
      <c r="S204" s="14"/>
      <c r="T204" s="14"/>
      <c r="U204" s="1"/>
      <c r="V204" s="1"/>
    </row>
    <row r="205" spans="3:22">
      <c r="C205" s="14"/>
      <c r="D205" s="14"/>
      <c r="E205" s="14"/>
      <c r="F205" s="14"/>
      <c r="G205" s="1"/>
      <c r="H205" s="1"/>
      <c r="J205" s="14"/>
      <c r="K205" s="14"/>
      <c r="L205" s="14"/>
      <c r="M205" s="14"/>
      <c r="N205" s="1"/>
      <c r="O205" s="1"/>
      <c r="Q205" s="14"/>
      <c r="R205" s="14"/>
      <c r="S205" s="14"/>
      <c r="T205" s="14"/>
      <c r="U205" s="1"/>
      <c r="V205" s="1"/>
    </row>
    <row r="206" spans="3:22">
      <c r="C206" s="14"/>
      <c r="D206" s="14"/>
      <c r="E206" s="14"/>
      <c r="F206" s="14"/>
      <c r="G206" s="1"/>
      <c r="H206" s="1"/>
      <c r="J206" s="14"/>
      <c r="K206" s="14"/>
      <c r="L206" s="14"/>
      <c r="M206" s="14"/>
      <c r="N206" s="1"/>
      <c r="O206" s="1"/>
      <c r="Q206" s="14"/>
      <c r="R206" s="14"/>
      <c r="S206" s="14"/>
      <c r="T206" s="14"/>
      <c r="U206" s="1"/>
      <c r="V206" s="1"/>
    </row>
    <row r="207" spans="3:22">
      <c r="C207" s="14"/>
      <c r="D207" s="14"/>
      <c r="E207" s="14"/>
      <c r="F207" s="14"/>
      <c r="G207" s="1"/>
      <c r="H207" s="1"/>
      <c r="J207" s="14"/>
      <c r="K207" s="14"/>
      <c r="L207" s="14"/>
      <c r="M207" s="14"/>
      <c r="N207" s="1"/>
      <c r="O207" s="1"/>
      <c r="Q207" s="14"/>
      <c r="R207" s="14"/>
      <c r="S207" s="14"/>
      <c r="T207" s="14"/>
      <c r="U207" s="1"/>
      <c r="V207" s="1"/>
    </row>
    <row r="208" spans="3:22">
      <c r="C208" s="14"/>
      <c r="D208" s="14"/>
      <c r="E208" s="14"/>
      <c r="F208" s="14"/>
      <c r="G208" s="1"/>
      <c r="H208" s="1"/>
      <c r="J208" s="14"/>
      <c r="K208" s="14"/>
      <c r="L208" s="14"/>
      <c r="M208" s="14"/>
      <c r="N208" s="1"/>
      <c r="O208" s="1"/>
      <c r="Q208" s="14"/>
      <c r="R208" s="14"/>
      <c r="S208" s="14"/>
      <c r="T208" s="14"/>
      <c r="U208" s="1"/>
      <c r="V208" s="1"/>
    </row>
    <row r="209" spans="3:22">
      <c r="C209" s="14"/>
      <c r="D209" s="14"/>
      <c r="E209" s="14"/>
      <c r="F209" s="14"/>
      <c r="G209" s="1"/>
      <c r="H209" s="1"/>
      <c r="J209" s="14"/>
      <c r="K209" s="14"/>
      <c r="L209" s="14"/>
      <c r="M209" s="14"/>
      <c r="N209" s="1"/>
      <c r="O209" s="1"/>
      <c r="Q209" s="14"/>
      <c r="R209" s="14"/>
      <c r="S209" s="14"/>
      <c r="T209" s="14"/>
      <c r="U209" s="1"/>
      <c r="V209" s="1"/>
    </row>
    <row r="210" spans="3:22">
      <c r="C210" s="14"/>
      <c r="D210" s="14"/>
      <c r="E210" s="14"/>
      <c r="F210" s="14"/>
      <c r="H210" s="1"/>
      <c r="J210" s="14"/>
      <c r="K210" s="14"/>
      <c r="L210" s="14"/>
      <c r="M210" s="14"/>
      <c r="O210" s="1"/>
      <c r="Q210" s="14"/>
      <c r="R210" s="14"/>
      <c r="S210" s="14"/>
      <c r="T210" s="14"/>
      <c r="V210" s="1"/>
    </row>
    <row r="211" spans="3:22">
      <c r="C211" s="14"/>
      <c r="D211" s="14"/>
      <c r="E211" s="14"/>
      <c r="F211" s="14"/>
      <c r="J211" s="14"/>
      <c r="K211" s="14"/>
      <c r="L211" s="14"/>
      <c r="M211" s="14"/>
      <c r="Q211" s="14"/>
      <c r="R211" s="14"/>
      <c r="S211" s="14"/>
      <c r="T211" s="14"/>
    </row>
    <row r="212" spans="3:22">
      <c r="C212" s="14"/>
      <c r="D212" s="14"/>
      <c r="E212" s="14"/>
      <c r="F212" s="14"/>
      <c r="G212" s="1"/>
      <c r="H212" s="1"/>
      <c r="J212" s="14"/>
      <c r="K212" s="14"/>
      <c r="L212" s="14"/>
      <c r="M212" s="14"/>
      <c r="N212" s="1"/>
      <c r="O212" s="1"/>
      <c r="Q212" s="14"/>
      <c r="R212" s="14"/>
      <c r="S212" s="14"/>
      <c r="T212" s="14"/>
      <c r="U212" s="1"/>
      <c r="V212" s="1"/>
    </row>
    <row r="213" spans="3:22">
      <c r="C213" s="14"/>
      <c r="D213" s="14"/>
      <c r="E213" s="14"/>
      <c r="F213" s="14"/>
      <c r="G213" s="1"/>
      <c r="H213" s="1"/>
    </row>
    <row r="214" spans="3:22">
      <c r="C214" s="14"/>
      <c r="D214" s="14"/>
      <c r="E214" s="14"/>
      <c r="F214" s="14"/>
      <c r="G214" s="1"/>
      <c r="H214" s="1"/>
    </row>
    <row r="215" spans="3:22">
      <c r="D215" s="1"/>
      <c r="E215" s="1"/>
      <c r="F215" s="1"/>
      <c r="G215" s="1"/>
      <c r="H215" s="1"/>
    </row>
    <row r="216" spans="3:22">
      <c r="D216" s="1"/>
      <c r="E216" s="1"/>
      <c r="F216" s="1"/>
      <c r="G216" s="1"/>
      <c r="H216" s="1"/>
    </row>
    <row r="217" spans="3:22">
      <c r="D217" s="1"/>
      <c r="E217" s="1"/>
      <c r="F217" s="1"/>
      <c r="G217" s="1"/>
      <c r="H217" s="1"/>
    </row>
    <row r="218" spans="3:22">
      <c r="D218" s="1"/>
      <c r="E218" s="1"/>
      <c r="F218" s="1"/>
      <c r="G218" s="1"/>
      <c r="H218" s="1"/>
    </row>
    <row r="219" spans="3:22">
      <c r="D219" s="1"/>
      <c r="E219" s="1"/>
      <c r="F219" s="1"/>
      <c r="G219" s="1"/>
      <c r="H219" s="1"/>
    </row>
    <row r="220" spans="3:22">
      <c r="H220" s="1"/>
    </row>
    <row r="221" spans="3:22">
      <c r="H221" s="1"/>
    </row>
  </sheetData>
  <dataConsolidate/>
  <pageMargins left="0.75" right="0.75" top="1" bottom="1" header="0.5" footer="0.5"/>
  <pageSetup paperSize="9" orientation="portrait" horizontalDpi="4294967292" verticalDpi="4294967292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4"/>
  <sheetViews>
    <sheetView topLeftCell="A98" workbookViewId="0">
      <selection activeCell="A106" sqref="A106:A110"/>
    </sheetView>
  </sheetViews>
  <sheetFormatPr baseColWidth="10" defaultRowHeight="15" x14ac:dyDescent="0"/>
  <sheetData>
    <row r="1" spans="1:44">
      <c r="B1" t="s">
        <v>15</v>
      </c>
      <c r="I1" t="s">
        <v>16</v>
      </c>
      <c r="P1" t="s">
        <v>17</v>
      </c>
      <c r="W1" t="s">
        <v>18</v>
      </c>
      <c r="AD1" t="s">
        <v>19</v>
      </c>
      <c r="AK1" t="s">
        <v>20</v>
      </c>
    </row>
    <row r="2" spans="1:44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21</v>
      </c>
      <c r="AQ2" t="s">
        <v>5</v>
      </c>
      <c r="AR2" t="s">
        <v>6</v>
      </c>
    </row>
    <row r="3" spans="1:44">
      <c r="A3">
        <v>1</v>
      </c>
      <c r="B3" s="14">
        <v>581.91600000000005</v>
      </c>
      <c r="C3" s="14">
        <v>616.84799999999996</v>
      </c>
      <c r="D3" s="14">
        <v>623.101</v>
      </c>
      <c r="E3" s="14">
        <v>644.053</v>
      </c>
      <c r="F3" s="14">
        <v>627.87300000000005</v>
      </c>
      <c r="G3" s="14"/>
      <c r="H3" s="14"/>
      <c r="I3" s="14">
        <v>618.07399999999996</v>
      </c>
      <c r="J3" s="14">
        <v>585.07799999999997</v>
      </c>
      <c r="K3" s="14">
        <v>581.67000000000007</v>
      </c>
      <c r="L3" s="14">
        <v>583.07900000000006</v>
      </c>
      <c r="M3" s="14">
        <v>602.02599999999995</v>
      </c>
      <c r="N3" s="14"/>
      <c r="O3" s="14"/>
      <c r="P3" s="14">
        <v>594.73199999999997</v>
      </c>
      <c r="Q3" s="14">
        <v>597.86199999999997</v>
      </c>
      <c r="R3" s="14">
        <v>618.51800000000003</v>
      </c>
      <c r="S3" s="14">
        <v>591.53700000000003</v>
      </c>
      <c r="T3" s="14">
        <v>591.52800000000002</v>
      </c>
      <c r="U3" s="1"/>
      <c r="W3">
        <v>346.32</v>
      </c>
      <c r="X3">
        <v>316.416</v>
      </c>
      <c r="Y3">
        <v>718.54499999999996</v>
      </c>
      <c r="Z3">
        <v>1049.9100000000001</v>
      </c>
      <c r="AA3">
        <v>884.125</v>
      </c>
      <c r="AD3">
        <v>383.12200000000001</v>
      </c>
      <c r="AE3">
        <v>350.72699999999998</v>
      </c>
      <c r="AF3">
        <v>694.19799999999998</v>
      </c>
      <c r="AG3">
        <v>731.40200000000004</v>
      </c>
      <c r="AH3">
        <v>703.36099999999999</v>
      </c>
      <c r="AK3">
        <v>386.71199999999999</v>
      </c>
      <c r="AL3">
        <v>328.875</v>
      </c>
      <c r="AM3">
        <v>705.78300000000002</v>
      </c>
      <c r="AN3">
        <v>779.06299999999999</v>
      </c>
      <c r="AO3">
        <v>716.48599999999999</v>
      </c>
    </row>
    <row r="4" spans="1:44">
      <c r="A4">
        <v>2</v>
      </c>
      <c r="B4" s="14">
        <v>663.67</v>
      </c>
      <c r="C4" s="14">
        <v>600.37700000000007</v>
      </c>
      <c r="D4" s="14">
        <v>638.77099999999996</v>
      </c>
      <c r="E4" s="14">
        <v>611.03700000000003</v>
      </c>
      <c r="F4" s="14">
        <v>595.56899999999996</v>
      </c>
      <c r="G4" s="14"/>
      <c r="H4" s="14"/>
      <c r="I4" s="14">
        <v>591.41999999999996</v>
      </c>
      <c r="J4" s="14">
        <v>584.64099999999996</v>
      </c>
      <c r="K4" s="14">
        <v>582.18299999999999</v>
      </c>
      <c r="L4" s="14">
        <v>605.56700000000001</v>
      </c>
      <c r="M4" s="14">
        <v>581.65800000000002</v>
      </c>
      <c r="N4" s="14"/>
      <c r="O4" s="14"/>
      <c r="P4" s="14">
        <v>595.38300000000004</v>
      </c>
      <c r="Q4" s="14">
        <v>668.09500000000003</v>
      </c>
      <c r="R4" s="14">
        <v>601.15899999999999</v>
      </c>
      <c r="S4" s="14">
        <v>593.56299999999999</v>
      </c>
      <c r="T4" s="14">
        <v>592.702</v>
      </c>
      <c r="U4" s="1"/>
      <c r="W4">
        <v>384.92</v>
      </c>
      <c r="X4">
        <v>362.89</v>
      </c>
      <c r="Y4">
        <v>814.77</v>
      </c>
      <c r="Z4">
        <v>1129.1300000000001</v>
      </c>
      <c r="AA4">
        <v>892.11699999999996</v>
      </c>
      <c r="AD4">
        <v>353.10700000000003</v>
      </c>
      <c r="AE4">
        <v>334.05200000000002</v>
      </c>
      <c r="AF4">
        <v>698.90499999999997</v>
      </c>
      <c r="AG4">
        <v>742.31399999999996</v>
      </c>
      <c r="AH4">
        <v>736.28800000000001</v>
      </c>
      <c r="AK4">
        <v>351.71800000000002</v>
      </c>
      <c r="AL4">
        <v>344.99599999999998</v>
      </c>
      <c r="AM4">
        <v>770.51800000000003</v>
      </c>
      <c r="AN4">
        <v>820.06500000000005</v>
      </c>
      <c r="AO4">
        <v>740.86599999999999</v>
      </c>
    </row>
    <row r="5" spans="1:44">
      <c r="A5">
        <v>3</v>
      </c>
      <c r="B5" s="14">
        <v>599.23500000000001</v>
      </c>
      <c r="C5" s="14">
        <v>701.57999999999993</v>
      </c>
      <c r="D5" s="14">
        <v>708.56600000000003</v>
      </c>
      <c r="E5" s="14">
        <v>642.98599999999999</v>
      </c>
      <c r="F5" s="14">
        <v>604.71199999999999</v>
      </c>
      <c r="G5" s="14"/>
      <c r="H5" s="14"/>
      <c r="I5" s="14">
        <v>582.33199999999999</v>
      </c>
      <c r="J5" s="14">
        <v>584.52199999999993</v>
      </c>
      <c r="K5" s="14">
        <v>615.62900000000002</v>
      </c>
      <c r="L5" s="14">
        <v>582.77300000000002</v>
      </c>
      <c r="M5" s="14">
        <v>581.30899999999997</v>
      </c>
      <c r="N5" s="14"/>
      <c r="O5" s="14"/>
      <c r="P5" s="14">
        <v>613.16</v>
      </c>
      <c r="Q5" s="14">
        <v>589.99699999999996</v>
      </c>
      <c r="R5" s="14">
        <v>594.31599999999992</v>
      </c>
      <c r="S5" s="14">
        <v>595.375</v>
      </c>
      <c r="T5" s="14">
        <v>601.18099999999993</v>
      </c>
      <c r="U5" s="1"/>
      <c r="W5">
        <v>354.64699999999999</v>
      </c>
      <c r="X5">
        <v>357.35</v>
      </c>
      <c r="Y5">
        <v>826.18700000000001</v>
      </c>
      <c r="Z5">
        <v>1053.67</v>
      </c>
      <c r="AA5">
        <v>823.60199999999998</v>
      </c>
      <c r="AD5">
        <v>326.27499999999998</v>
      </c>
      <c r="AE5">
        <v>327.66500000000002</v>
      </c>
      <c r="AF5">
        <v>698.87599999999998</v>
      </c>
      <c r="AG5">
        <v>733.702</v>
      </c>
      <c r="AH5">
        <v>764.524</v>
      </c>
      <c r="AK5">
        <v>377.52199999999999</v>
      </c>
      <c r="AL5">
        <v>402.06799999999998</v>
      </c>
      <c r="AM5">
        <v>756.96600000000001</v>
      </c>
      <c r="AN5">
        <v>840.84199999999998</v>
      </c>
      <c r="AO5">
        <v>732.62900000000002</v>
      </c>
    </row>
    <row r="6" spans="1:44">
      <c r="A6">
        <v>4</v>
      </c>
      <c r="B6" s="14">
        <v>623.01300000000003</v>
      </c>
      <c r="C6" s="14">
        <v>595.97299999999996</v>
      </c>
      <c r="D6" s="14">
        <v>601.51200000000006</v>
      </c>
      <c r="E6" s="14">
        <v>590.79300000000001</v>
      </c>
      <c r="F6" s="14">
        <v>586.78800000000001</v>
      </c>
      <c r="G6" s="14"/>
      <c r="H6" s="14"/>
      <c r="I6" s="14">
        <v>582.16800000000001</v>
      </c>
      <c r="J6" s="14">
        <v>584.1110000000001</v>
      </c>
      <c r="K6" s="14">
        <v>607.19999999999993</v>
      </c>
      <c r="L6" s="14">
        <v>586.89</v>
      </c>
      <c r="M6" s="14">
        <v>583.15600000000006</v>
      </c>
      <c r="N6" s="14"/>
      <c r="O6" s="14"/>
      <c r="P6" s="14">
        <v>590.50300000000004</v>
      </c>
      <c r="Q6" s="14">
        <v>590.38800000000003</v>
      </c>
      <c r="R6" s="14">
        <v>594.02100000000007</v>
      </c>
      <c r="S6" s="14">
        <v>595.06600000000003</v>
      </c>
      <c r="T6" s="14">
        <v>616.83199999999999</v>
      </c>
      <c r="U6" s="1"/>
      <c r="W6">
        <v>343.87400000000002</v>
      </c>
      <c r="X6">
        <v>332.47899999999998</v>
      </c>
      <c r="Y6">
        <v>759.61900000000003</v>
      </c>
      <c r="Z6">
        <v>960.33900000000006</v>
      </c>
      <c r="AA6">
        <v>759.28200000000004</v>
      </c>
      <c r="AD6">
        <v>348.5</v>
      </c>
      <c r="AE6">
        <v>338.41199999999998</v>
      </c>
      <c r="AF6">
        <v>699.88</v>
      </c>
      <c r="AG6">
        <v>779.399</v>
      </c>
      <c r="AH6">
        <v>721.80700000000002</v>
      </c>
      <c r="AK6">
        <v>355.57400000000001</v>
      </c>
      <c r="AL6">
        <v>337.48</v>
      </c>
      <c r="AM6">
        <v>790.13</v>
      </c>
      <c r="AN6">
        <v>942.23800000000006</v>
      </c>
      <c r="AO6">
        <v>928.25099999999998</v>
      </c>
    </row>
    <row r="7" spans="1:44">
      <c r="A7">
        <v>5</v>
      </c>
      <c r="B7" s="14">
        <v>621.53800000000001</v>
      </c>
      <c r="C7" s="14">
        <v>601.36800000000005</v>
      </c>
      <c r="D7" s="14">
        <v>591.87099999999998</v>
      </c>
      <c r="E7" s="14">
        <v>591.68100000000004</v>
      </c>
      <c r="F7" s="14">
        <v>614.71900000000005</v>
      </c>
      <c r="G7" s="14"/>
      <c r="H7" s="14"/>
      <c r="I7" s="14">
        <v>582.71</v>
      </c>
      <c r="J7" s="14">
        <v>604.63400000000001</v>
      </c>
      <c r="K7" s="14">
        <v>583.90200000000004</v>
      </c>
      <c r="L7" s="14">
        <v>586.84400000000005</v>
      </c>
      <c r="M7" s="14">
        <v>583.34799999999996</v>
      </c>
      <c r="N7" s="14"/>
      <c r="O7" s="14"/>
      <c r="P7" s="14">
        <v>593.77099999999996</v>
      </c>
      <c r="Q7" s="14">
        <v>590.596</v>
      </c>
      <c r="R7" s="14">
        <v>596.24800000000005</v>
      </c>
      <c r="S7" s="14">
        <v>619.64400000000001</v>
      </c>
      <c r="T7" s="14">
        <v>587.40499999999997</v>
      </c>
      <c r="U7" s="1"/>
      <c r="W7">
        <v>329.59</v>
      </c>
      <c r="X7">
        <v>325.53800000000001</v>
      </c>
      <c r="Y7">
        <v>773.70500000000004</v>
      </c>
      <c r="Z7">
        <v>1027.5899999999999</v>
      </c>
      <c r="AA7">
        <v>766.47699999999998</v>
      </c>
      <c r="AD7">
        <v>321.90600000000001</v>
      </c>
      <c r="AE7">
        <v>328.25</v>
      </c>
      <c r="AF7">
        <v>701.65700000000004</v>
      </c>
      <c r="AG7">
        <v>829.84199999999998</v>
      </c>
      <c r="AH7">
        <v>707.47500000000002</v>
      </c>
      <c r="AK7">
        <v>439.44299999999998</v>
      </c>
      <c r="AL7">
        <v>469.15800000000002</v>
      </c>
      <c r="AM7">
        <v>828.779</v>
      </c>
      <c r="AN7">
        <v>804.96299999999997</v>
      </c>
      <c r="AO7">
        <v>790.74699999999996</v>
      </c>
    </row>
    <row r="8" spans="1:44">
      <c r="A8">
        <v>6</v>
      </c>
      <c r="B8" s="14">
        <v>667.39300000000003</v>
      </c>
      <c r="C8" s="14">
        <v>607.49400000000003</v>
      </c>
      <c r="D8" s="14">
        <v>594.202</v>
      </c>
      <c r="E8" s="14">
        <v>613.60599999999999</v>
      </c>
      <c r="F8" s="14">
        <v>595.43299999999999</v>
      </c>
      <c r="G8" s="14"/>
      <c r="H8" s="14"/>
      <c r="I8" s="14">
        <v>610.12800000000004</v>
      </c>
      <c r="J8" s="14">
        <v>583.30400000000009</v>
      </c>
      <c r="K8" s="14">
        <v>581.90499999999997</v>
      </c>
      <c r="L8" s="14">
        <v>582.73799999999994</v>
      </c>
      <c r="M8" s="14">
        <v>611.12699999999995</v>
      </c>
      <c r="N8" s="14"/>
      <c r="O8" s="14"/>
      <c r="P8" s="14">
        <v>592.60699999999997</v>
      </c>
      <c r="Q8" s="14">
        <v>588.36500000000001</v>
      </c>
      <c r="R8" s="14">
        <v>613.27</v>
      </c>
      <c r="S8" s="14">
        <v>592.86099999999999</v>
      </c>
      <c r="T8" s="14">
        <v>588.29100000000005</v>
      </c>
      <c r="U8" s="1"/>
      <c r="W8">
        <v>357.17399999999998</v>
      </c>
      <c r="X8">
        <v>347.85300000000001</v>
      </c>
      <c r="Y8">
        <v>712.72699999999998</v>
      </c>
      <c r="Z8">
        <v>944.56299999999999</v>
      </c>
      <c r="AA8">
        <v>743.59400000000005</v>
      </c>
      <c r="AD8">
        <v>332.24099999999999</v>
      </c>
      <c r="AE8">
        <v>329.19499999999999</v>
      </c>
      <c r="AF8">
        <v>746.39400000000001</v>
      </c>
      <c r="AG8">
        <v>746.53599999999994</v>
      </c>
      <c r="AH8">
        <v>711.11699999999996</v>
      </c>
      <c r="AK8">
        <v>419.55200000000002</v>
      </c>
      <c r="AL8">
        <v>364.63</v>
      </c>
      <c r="AM8">
        <v>748.88400000000001</v>
      </c>
      <c r="AN8">
        <v>801.952</v>
      </c>
      <c r="AO8">
        <v>780.07500000000005</v>
      </c>
    </row>
    <row r="9" spans="1:44">
      <c r="A9">
        <v>7</v>
      </c>
      <c r="B9" s="14">
        <v>583.12199999999996</v>
      </c>
      <c r="C9" s="14">
        <v>615.62399999999991</v>
      </c>
      <c r="D9" s="14">
        <v>615.60599999999999</v>
      </c>
      <c r="E9" s="14">
        <v>603.01300000000003</v>
      </c>
      <c r="F9" s="14">
        <v>597.01</v>
      </c>
      <c r="G9" s="14"/>
      <c r="H9" s="14"/>
      <c r="I9" s="14">
        <v>655.33699999999999</v>
      </c>
      <c r="J9" s="14">
        <v>584.96699999999998</v>
      </c>
      <c r="K9" s="14">
        <v>586.85900000000004</v>
      </c>
      <c r="L9" s="14">
        <v>599.9910000000001</v>
      </c>
      <c r="M9" s="14">
        <v>582.22500000000002</v>
      </c>
      <c r="N9" s="14"/>
      <c r="O9" s="14"/>
      <c r="P9" s="14">
        <v>590.43399999999997</v>
      </c>
      <c r="Q9" s="14">
        <v>603.755</v>
      </c>
      <c r="R9" s="14">
        <v>593.64700000000005</v>
      </c>
      <c r="S9" s="14">
        <v>594.54099999999994</v>
      </c>
      <c r="T9" s="14">
        <v>589.28</v>
      </c>
      <c r="U9" s="1"/>
      <c r="W9">
        <v>332.38200000000001</v>
      </c>
      <c r="X9">
        <v>360.88900000000001</v>
      </c>
      <c r="Y9">
        <v>741.30499999999995</v>
      </c>
      <c r="Z9">
        <v>1117.3499999999999</v>
      </c>
      <c r="AA9">
        <v>857.47299999999996</v>
      </c>
      <c r="AD9">
        <v>332.35300000000001</v>
      </c>
      <c r="AE9">
        <v>327.92200000000003</v>
      </c>
      <c r="AF9">
        <v>713.11400000000003</v>
      </c>
      <c r="AG9">
        <v>734.84500000000003</v>
      </c>
      <c r="AH9">
        <v>703.43100000000004</v>
      </c>
      <c r="AK9">
        <v>432.59100000000001</v>
      </c>
      <c r="AL9">
        <v>400.74400000000003</v>
      </c>
      <c r="AM9">
        <v>999.43200000000002</v>
      </c>
      <c r="AN9">
        <v>1070.53</v>
      </c>
      <c r="AO9">
        <v>1093.83</v>
      </c>
    </row>
    <row r="10" spans="1:44">
      <c r="A10">
        <v>8</v>
      </c>
      <c r="B10" s="14">
        <v>597.18899999999996</v>
      </c>
      <c r="C10" s="14">
        <v>614.3309999999999</v>
      </c>
      <c r="D10" s="14">
        <v>597.14100000000008</v>
      </c>
      <c r="E10" s="14">
        <v>588.66499999999996</v>
      </c>
      <c r="F10" s="14">
        <v>590.65599999999995</v>
      </c>
      <c r="G10" s="14"/>
      <c r="H10" s="14"/>
      <c r="I10" s="14">
        <v>584.17999999999995</v>
      </c>
      <c r="J10" s="14">
        <v>581.81499999999994</v>
      </c>
      <c r="K10" s="14">
        <v>583.01900000000001</v>
      </c>
      <c r="L10" s="14">
        <v>604.76099999999997</v>
      </c>
      <c r="M10" s="14">
        <v>582.10399999999993</v>
      </c>
      <c r="N10" s="14"/>
      <c r="O10" s="14"/>
      <c r="P10" s="14">
        <v>589.77599999999995</v>
      </c>
      <c r="Q10" s="14">
        <v>614.68999999999994</v>
      </c>
      <c r="R10" s="14">
        <v>594.327</v>
      </c>
      <c r="S10" s="14">
        <v>594.21199999999999</v>
      </c>
      <c r="T10" s="14">
        <v>588.06099999999992</v>
      </c>
      <c r="U10" s="1"/>
      <c r="W10">
        <v>405.63200000000001</v>
      </c>
      <c r="X10">
        <v>406.76100000000002</v>
      </c>
      <c r="Y10">
        <v>810.28800000000001</v>
      </c>
      <c r="Z10">
        <v>1129.83</v>
      </c>
      <c r="AA10">
        <v>841.69799999999998</v>
      </c>
      <c r="AD10">
        <v>325.22500000000002</v>
      </c>
      <c r="AE10">
        <v>354.87099999999998</v>
      </c>
      <c r="AF10">
        <v>692.44100000000003</v>
      </c>
      <c r="AG10">
        <v>736.64300000000003</v>
      </c>
      <c r="AH10">
        <v>788.26800000000003</v>
      </c>
      <c r="AK10">
        <v>505.67200000000003</v>
      </c>
      <c r="AL10">
        <v>438.99900000000002</v>
      </c>
      <c r="AM10">
        <v>1072.6600000000001</v>
      </c>
      <c r="AN10">
        <v>1067.1099999999999</v>
      </c>
      <c r="AO10">
        <v>966.58</v>
      </c>
    </row>
    <row r="11" spans="1:44">
      <c r="A11">
        <v>9</v>
      </c>
      <c r="B11" s="14">
        <v>603.15099999999995</v>
      </c>
      <c r="C11" s="14">
        <v>644.245</v>
      </c>
      <c r="D11" s="14">
        <v>591.66099999999994</v>
      </c>
      <c r="E11" s="14">
        <v>588.93600000000004</v>
      </c>
      <c r="F11" s="14">
        <v>603.91099999999994</v>
      </c>
      <c r="G11" s="14"/>
      <c r="H11" s="14"/>
      <c r="I11" s="14">
        <v>582.55100000000004</v>
      </c>
      <c r="J11" s="14">
        <v>584.17699999999991</v>
      </c>
      <c r="K11" s="14">
        <v>607.30399999999997</v>
      </c>
      <c r="L11" s="14">
        <v>585.245</v>
      </c>
      <c r="M11" s="14">
        <v>586.65899999999999</v>
      </c>
      <c r="N11" s="14"/>
      <c r="O11" s="14"/>
      <c r="P11" s="14">
        <v>609.86800000000005</v>
      </c>
      <c r="Q11" s="14">
        <v>589.05499999999995</v>
      </c>
      <c r="R11" s="14">
        <v>593.11</v>
      </c>
      <c r="S11" s="14">
        <v>597.37900000000002</v>
      </c>
      <c r="T11" s="14">
        <v>616</v>
      </c>
      <c r="U11" s="1"/>
      <c r="W11">
        <v>377.702</v>
      </c>
      <c r="X11">
        <v>403.584</v>
      </c>
      <c r="Y11">
        <v>845.19899999999996</v>
      </c>
      <c r="Z11">
        <v>1066.1500000000001</v>
      </c>
      <c r="AA11">
        <v>724.39</v>
      </c>
      <c r="AD11">
        <v>440.22399999999999</v>
      </c>
      <c r="AE11">
        <v>356.86399999999998</v>
      </c>
      <c r="AF11">
        <v>780.91099999999994</v>
      </c>
      <c r="AG11">
        <v>766.50699999999995</v>
      </c>
      <c r="AH11">
        <v>743.09</v>
      </c>
      <c r="AK11">
        <v>391.03100000000001</v>
      </c>
      <c r="AL11">
        <v>437.31299999999999</v>
      </c>
      <c r="AM11">
        <v>863.20399999999995</v>
      </c>
      <c r="AN11">
        <v>745.63599999999997</v>
      </c>
      <c r="AO11">
        <v>727.03599999999994</v>
      </c>
    </row>
    <row r="12" spans="1:44">
      <c r="A12">
        <v>10</v>
      </c>
      <c r="B12" s="14">
        <v>591.16399999999999</v>
      </c>
      <c r="C12" s="14">
        <v>597.11</v>
      </c>
      <c r="D12" s="14">
        <v>614.80500000000006</v>
      </c>
      <c r="E12" s="14">
        <v>591.55599999999993</v>
      </c>
      <c r="F12" s="14">
        <v>582.47300000000007</v>
      </c>
      <c r="G12" s="14"/>
      <c r="H12" s="14"/>
      <c r="I12" s="14">
        <v>623.64200000000005</v>
      </c>
      <c r="J12" s="14">
        <v>652.86299999999994</v>
      </c>
      <c r="K12" s="14">
        <v>584.59500000000003</v>
      </c>
      <c r="L12" s="14">
        <v>589.54099999999994</v>
      </c>
      <c r="M12" s="14">
        <v>581.25400000000002</v>
      </c>
      <c r="N12" s="14"/>
      <c r="O12" s="14"/>
      <c r="P12" s="14">
        <v>592.16499999999996</v>
      </c>
      <c r="Q12" s="14">
        <v>589.75299999999993</v>
      </c>
      <c r="R12" s="14">
        <v>592.197</v>
      </c>
      <c r="S12" s="14">
        <v>619.904</v>
      </c>
      <c r="T12" s="14">
        <v>603.21199999999999</v>
      </c>
      <c r="U12" s="1"/>
      <c r="W12">
        <v>318.21699999999998</v>
      </c>
      <c r="X12">
        <v>357.09899999999999</v>
      </c>
      <c r="Y12">
        <v>712.45500000000004</v>
      </c>
      <c r="Z12">
        <v>947.41700000000003</v>
      </c>
      <c r="AA12">
        <v>787.53899999999999</v>
      </c>
      <c r="AD12">
        <v>343.98</v>
      </c>
      <c r="AE12">
        <v>330.68900000000002</v>
      </c>
      <c r="AF12">
        <v>722.09100000000001</v>
      </c>
      <c r="AG12">
        <v>755.74800000000005</v>
      </c>
      <c r="AH12">
        <v>760.78099999999995</v>
      </c>
      <c r="AK12">
        <v>339.06200000000001</v>
      </c>
      <c r="AL12">
        <v>333.14600000000002</v>
      </c>
      <c r="AM12">
        <v>703.59500000000003</v>
      </c>
      <c r="AN12">
        <v>741.81100000000004</v>
      </c>
      <c r="AO12">
        <v>851.654</v>
      </c>
    </row>
    <row r="13" spans="1:44">
      <c r="A13">
        <v>11</v>
      </c>
      <c r="B13" s="14">
        <v>617.86300000000006</v>
      </c>
      <c r="C13" s="14">
        <v>615.52700000000004</v>
      </c>
      <c r="D13" s="14">
        <v>596.37399999999991</v>
      </c>
      <c r="E13" s="14">
        <v>605.88299999999992</v>
      </c>
      <c r="F13" s="14">
        <v>586.56799999999998</v>
      </c>
      <c r="G13" s="14"/>
      <c r="H13" s="14"/>
      <c r="I13" s="14">
        <v>608.53599999999994</v>
      </c>
      <c r="J13" s="14">
        <v>599.57099999999991</v>
      </c>
      <c r="K13" s="14">
        <v>605.0680000000001</v>
      </c>
      <c r="L13" s="14">
        <v>612.80500000000006</v>
      </c>
      <c r="M13" s="14">
        <v>699.99900000000002</v>
      </c>
      <c r="N13" s="14"/>
      <c r="O13" s="14"/>
      <c r="P13" s="14">
        <v>590.80799999999999</v>
      </c>
      <c r="Q13" s="14">
        <v>591.82299999999998</v>
      </c>
      <c r="R13" s="14">
        <v>592.70900000000006</v>
      </c>
      <c r="S13" s="14">
        <v>621.97400000000005</v>
      </c>
      <c r="T13" s="14">
        <v>589.274</v>
      </c>
      <c r="U13" s="1"/>
      <c r="W13">
        <v>332.65</v>
      </c>
      <c r="X13">
        <v>352.62599999999998</v>
      </c>
      <c r="Y13">
        <v>746.24300000000005</v>
      </c>
      <c r="Z13">
        <v>1004.57</v>
      </c>
      <c r="AA13">
        <v>748.98299999999995</v>
      </c>
      <c r="AD13">
        <v>347.73700000000002</v>
      </c>
      <c r="AE13">
        <v>340.50200000000001</v>
      </c>
      <c r="AF13">
        <v>747.41700000000003</v>
      </c>
      <c r="AG13">
        <v>779.39599999999996</v>
      </c>
      <c r="AH13">
        <v>774.99099999999999</v>
      </c>
      <c r="AK13">
        <v>412.34500000000003</v>
      </c>
      <c r="AL13">
        <v>355.01100000000002</v>
      </c>
      <c r="AM13">
        <v>735.43899999999996</v>
      </c>
      <c r="AN13">
        <v>774.18</v>
      </c>
      <c r="AO13">
        <v>779.87099999999998</v>
      </c>
    </row>
    <row r="14" spans="1:44">
      <c r="A14">
        <v>12</v>
      </c>
      <c r="B14" s="14">
        <v>627.51199999999994</v>
      </c>
      <c r="C14" s="14">
        <v>583.12900000000002</v>
      </c>
      <c r="D14" s="14">
        <v>599.05399999999997</v>
      </c>
      <c r="E14" s="14">
        <v>587.73599999999999</v>
      </c>
      <c r="F14" s="14">
        <v>650.39499999999998</v>
      </c>
      <c r="G14" s="14"/>
      <c r="H14" s="14"/>
      <c r="I14" s="14">
        <v>623.53399999999999</v>
      </c>
      <c r="J14" s="14">
        <v>618.29199999999992</v>
      </c>
      <c r="K14" s="14">
        <v>618.19200000000001</v>
      </c>
      <c r="L14" s="14">
        <v>612.70899999999995</v>
      </c>
      <c r="M14" s="14">
        <v>643.69399999999996</v>
      </c>
      <c r="N14" s="14"/>
      <c r="O14" s="14"/>
      <c r="P14" s="14">
        <v>590.65800000000002</v>
      </c>
      <c r="Q14" s="14">
        <v>592.76900000000001</v>
      </c>
      <c r="R14" s="14">
        <v>728.7829999999999</v>
      </c>
      <c r="S14" s="14">
        <v>606.17200000000003</v>
      </c>
      <c r="T14" s="14">
        <v>590.41</v>
      </c>
      <c r="W14">
        <v>332.10500000000002</v>
      </c>
      <c r="X14">
        <v>362.822</v>
      </c>
      <c r="Y14">
        <v>739.45299999999997</v>
      </c>
      <c r="Z14">
        <v>958.52499999999998</v>
      </c>
      <c r="AA14">
        <v>756.79300000000001</v>
      </c>
      <c r="AD14">
        <v>329.63600000000002</v>
      </c>
      <c r="AE14">
        <v>327.76900000000001</v>
      </c>
      <c r="AF14">
        <v>690.03899999999999</v>
      </c>
      <c r="AG14">
        <v>731.63400000000001</v>
      </c>
      <c r="AH14">
        <v>880.91399999999999</v>
      </c>
      <c r="AK14">
        <v>344.94600000000003</v>
      </c>
      <c r="AL14">
        <v>348.52800000000002</v>
      </c>
      <c r="AM14">
        <v>737.95100000000002</v>
      </c>
      <c r="AN14">
        <v>806.67700000000002</v>
      </c>
      <c r="AO14">
        <v>749.78399999999999</v>
      </c>
    </row>
    <row r="15" spans="1:44">
      <c r="A15">
        <v>13</v>
      </c>
      <c r="B15" s="14">
        <v>589.17399999999998</v>
      </c>
      <c r="C15" s="14">
        <v>593.29</v>
      </c>
      <c r="D15" s="14">
        <v>597.45800000000008</v>
      </c>
      <c r="E15" s="14">
        <v>635.89499999999998</v>
      </c>
      <c r="F15" s="14">
        <v>593.24099999999999</v>
      </c>
      <c r="G15" s="14"/>
      <c r="H15" s="14"/>
      <c r="I15" s="14">
        <v>602.92200000000003</v>
      </c>
      <c r="J15" s="14">
        <v>605.49299999999994</v>
      </c>
      <c r="K15" s="14">
        <v>614.00099999999998</v>
      </c>
      <c r="L15" s="14">
        <v>648.32399999999996</v>
      </c>
      <c r="M15" s="14">
        <v>582.23199999999997</v>
      </c>
      <c r="N15" s="14"/>
      <c r="O15" s="14"/>
      <c r="P15" s="14">
        <v>590.56899999999996</v>
      </c>
      <c r="Q15" s="14">
        <v>614.428</v>
      </c>
      <c r="R15" s="14">
        <v>596.13499999999999</v>
      </c>
      <c r="S15" s="14">
        <v>592.29200000000003</v>
      </c>
      <c r="T15" s="14">
        <v>588.72199999999998</v>
      </c>
      <c r="U15" s="1"/>
      <c r="W15">
        <v>330.608</v>
      </c>
      <c r="X15">
        <v>355.27</v>
      </c>
      <c r="Y15">
        <v>789.04100000000005</v>
      </c>
      <c r="Z15">
        <v>981.12</v>
      </c>
      <c r="AA15">
        <v>755.47299999999996</v>
      </c>
      <c r="AD15">
        <v>367.22199999999998</v>
      </c>
      <c r="AE15">
        <v>450.24599999999998</v>
      </c>
      <c r="AF15">
        <v>829.24</v>
      </c>
      <c r="AG15">
        <v>921.00599999999997</v>
      </c>
      <c r="AH15">
        <v>867.61</v>
      </c>
      <c r="AK15">
        <v>352.48</v>
      </c>
      <c r="AL15">
        <v>349.63499999999999</v>
      </c>
      <c r="AM15">
        <v>739.70600000000002</v>
      </c>
      <c r="AN15">
        <v>762.46900000000005</v>
      </c>
      <c r="AO15">
        <v>714.58199999999999</v>
      </c>
    </row>
    <row r="16" spans="1:44">
      <c r="A16">
        <v>14</v>
      </c>
      <c r="B16" s="14">
        <v>593.46</v>
      </c>
      <c r="C16" s="14">
        <v>599.42399999999998</v>
      </c>
      <c r="D16" s="14">
        <v>589.97699999999998</v>
      </c>
      <c r="E16" s="14">
        <v>618.85299999999995</v>
      </c>
      <c r="F16" s="14">
        <v>592.73</v>
      </c>
      <c r="G16" s="14"/>
      <c r="H16" s="14"/>
      <c r="I16" s="14">
        <v>582.79999999999995</v>
      </c>
      <c r="J16" s="14">
        <v>582.58100000000002</v>
      </c>
      <c r="K16" s="14">
        <v>609.84500000000003</v>
      </c>
      <c r="L16" s="14">
        <v>582.67999999999995</v>
      </c>
      <c r="M16" s="14">
        <v>583.16999999999996</v>
      </c>
      <c r="N16" s="14"/>
      <c r="O16" s="14"/>
      <c r="P16" s="14">
        <v>605.84299999999996</v>
      </c>
      <c r="Q16" s="14">
        <v>589.91000000000008</v>
      </c>
      <c r="R16" s="14">
        <v>592.71300000000008</v>
      </c>
      <c r="S16" s="14">
        <v>594.01</v>
      </c>
      <c r="T16" s="14">
        <v>611.82000000000005</v>
      </c>
      <c r="U16" s="1"/>
      <c r="W16">
        <v>341.30700000000002</v>
      </c>
      <c r="X16">
        <v>355.48</v>
      </c>
      <c r="Y16">
        <v>838.60400000000004</v>
      </c>
      <c r="Z16">
        <v>1189.79</v>
      </c>
      <c r="AA16">
        <v>868.76199999999994</v>
      </c>
      <c r="AD16">
        <v>393.82</v>
      </c>
      <c r="AE16">
        <v>383.34800000000001</v>
      </c>
      <c r="AF16">
        <v>810.12900000000002</v>
      </c>
      <c r="AG16">
        <v>888.19</v>
      </c>
      <c r="AH16">
        <v>861.48199999999997</v>
      </c>
      <c r="AK16">
        <v>330.79500000000002</v>
      </c>
      <c r="AL16">
        <v>331.66800000000001</v>
      </c>
      <c r="AM16">
        <v>720.49699999999996</v>
      </c>
      <c r="AN16">
        <v>735.89</v>
      </c>
      <c r="AO16">
        <v>709.33100000000002</v>
      </c>
    </row>
    <row r="17" spans="1:41">
      <c r="A17">
        <v>15</v>
      </c>
      <c r="B17" s="14">
        <v>596.24300000000005</v>
      </c>
      <c r="C17" s="14">
        <v>596.19000000000005</v>
      </c>
      <c r="D17" s="14">
        <v>617.87199999999996</v>
      </c>
      <c r="E17" s="14">
        <v>613.56799999999998</v>
      </c>
      <c r="F17" s="14">
        <v>598.85600000000011</v>
      </c>
      <c r="G17" s="14"/>
      <c r="H17" s="14"/>
      <c r="I17" s="14">
        <v>581.63</v>
      </c>
      <c r="J17" s="14">
        <v>582.75200000000007</v>
      </c>
      <c r="K17" s="14">
        <v>600.73699999999997</v>
      </c>
      <c r="L17" s="14">
        <v>584.99699999999996</v>
      </c>
      <c r="M17" s="14">
        <v>582.54300000000001</v>
      </c>
      <c r="N17" s="14"/>
      <c r="O17" s="14"/>
      <c r="P17" s="14">
        <v>590.53399999999999</v>
      </c>
      <c r="Q17" s="14">
        <v>591.41800000000001</v>
      </c>
      <c r="R17" s="14">
        <v>591.30400000000009</v>
      </c>
      <c r="S17" s="14">
        <v>617.62199999999996</v>
      </c>
      <c r="T17" s="14">
        <v>591.40000000000009</v>
      </c>
      <c r="U17" s="1"/>
      <c r="W17">
        <v>410.13900000000001</v>
      </c>
      <c r="X17">
        <v>380.892</v>
      </c>
      <c r="Y17">
        <v>788.03899999999999</v>
      </c>
      <c r="Z17">
        <v>988.67600000000004</v>
      </c>
      <c r="AA17">
        <v>737.63800000000003</v>
      </c>
      <c r="AD17">
        <v>386.20600000000002</v>
      </c>
      <c r="AE17">
        <v>426.34699999999998</v>
      </c>
      <c r="AF17">
        <v>884.83699999999999</v>
      </c>
      <c r="AG17">
        <v>766.34500000000003</v>
      </c>
      <c r="AH17">
        <v>857.83799999999997</v>
      </c>
      <c r="AK17">
        <v>331.20699999999999</v>
      </c>
      <c r="AL17">
        <v>328.55399999999997</v>
      </c>
      <c r="AM17">
        <v>722.02300000000002</v>
      </c>
      <c r="AN17">
        <v>743.61699999999996</v>
      </c>
      <c r="AO17">
        <v>748.91899999999998</v>
      </c>
    </row>
    <row r="18" spans="1:41">
      <c r="A18">
        <v>16</v>
      </c>
      <c r="B18" s="14">
        <v>591.61900000000003</v>
      </c>
      <c r="C18" s="14">
        <v>658.56600000000003</v>
      </c>
      <c r="D18" s="14">
        <v>595.27099999999996</v>
      </c>
      <c r="E18" s="14">
        <v>589.14</v>
      </c>
      <c r="F18" s="14">
        <v>592.13400000000001</v>
      </c>
      <c r="G18" s="14"/>
      <c r="H18" s="14"/>
      <c r="I18" s="14">
        <v>581.31299999999999</v>
      </c>
      <c r="J18" s="14">
        <v>609.89199999999994</v>
      </c>
      <c r="K18" s="14">
        <v>582.86899999999991</v>
      </c>
      <c r="L18" s="14">
        <v>584.61799999999994</v>
      </c>
      <c r="M18" s="14">
        <v>582.00300000000004</v>
      </c>
      <c r="N18" s="14"/>
      <c r="O18" s="14"/>
      <c r="P18" s="14">
        <v>590.74800000000005</v>
      </c>
      <c r="Q18" s="14">
        <v>588.99800000000005</v>
      </c>
      <c r="R18" s="14">
        <v>618.11500000000001</v>
      </c>
      <c r="S18" s="14">
        <v>594.89300000000003</v>
      </c>
      <c r="T18" s="14">
        <v>589.26699999999994</v>
      </c>
      <c r="U18" s="1"/>
      <c r="W18">
        <v>323.57</v>
      </c>
      <c r="X18">
        <v>359.81700000000001</v>
      </c>
      <c r="Y18">
        <v>730.16600000000005</v>
      </c>
      <c r="Z18">
        <v>1050.48</v>
      </c>
      <c r="AA18">
        <v>807.70899999999995</v>
      </c>
      <c r="AD18">
        <v>369.31900000000002</v>
      </c>
      <c r="AE18">
        <v>338.71</v>
      </c>
      <c r="AF18">
        <v>760.72299999999996</v>
      </c>
      <c r="AG18">
        <v>770.76199999999994</v>
      </c>
      <c r="AH18">
        <v>766.82899999999995</v>
      </c>
      <c r="AK18">
        <v>347.14600000000002</v>
      </c>
      <c r="AL18">
        <v>388.18900000000002</v>
      </c>
      <c r="AM18">
        <v>856.11099999999999</v>
      </c>
      <c r="AN18">
        <v>1027.6199999999999</v>
      </c>
      <c r="AO18">
        <v>936.95699999999999</v>
      </c>
    </row>
    <row r="19" spans="1:41">
      <c r="A19">
        <v>17</v>
      </c>
      <c r="B19" s="14">
        <v>649.279</v>
      </c>
      <c r="C19" s="14">
        <v>587.83100000000002</v>
      </c>
      <c r="D19" s="14">
        <v>594.68799999999999</v>
      </c>
      <c r="E19" s="14">
        <v>610.06400000000008</v>
      </c>
      <c r="F19" s="14">
        <v>594.28800000000001</v>
      </c>
      <c r="G19" s="14"/>
      <c r="H19" s="14"/>
      <c r="I19" s="14">
        <v>598.36699999999996</v>
      </c>
      <c r="J19" s="14">
        <v>584.48800000000006</v>
      </c>
      <c r="K19" s="14">
        <v>598.67899999999997</v>
      </c>
      <c r="L19" s="14">
        <v>582.79000000000008</v>
      </c>
      <c r="M19" s="14">
        <v>581.81799999999998</v>
      </c>
      <c r="N19" s="14"/>
      <c r="O19" s="14"/>
      <c r="P19" s="14">
        <v>598.28599999999994</v>
      </c>
      <c r="Q19" s="14">
        <v>589.54200000000003</v>
      </c>
      <c r="R19" s="14">
        <v>615.29</v>
      </c>
      <c r="S19" s="14">
        <v>592.673</v>
      </c>
      <c r="T19" s="14">
        <v>589.63900000000001</v>
      </c>
      <c r="U19" s="1"/>
      <c r="W19">
        <v>356.00900000000001</v>
      </c>
      <c r="X19">
        <v>452.41500000000002</v>
      </c>
      <c r="Y19">
        <v>824.55899999999997</v>
      </c>
      <c r="Z19">
        <v>1059.22</v>
      </c>
      <c r="AA19">
        <v>773.16200000000003</v>
      </c>
      <c r="AD19">
        <v>391.99299999999999</v>
      </c>
      <c r="AE19">
        <v>362.608</v>
      </c>
      <c r="AF19">
        <v>829.95799999999997</v>
      </c>
      <c r="AG19">
        <v>787.37599999999998</v>
      </c>
      <c r="AH19">
        <v>822.45899999999995</v>
      </c>
      <c r="AK19">
        <v>369.976</v>
      </c>
      <c r="AL19">
        <v>455.29599999999999</v>
      </c>
      <c r="AM19">
        <v>899.303</v>
      </c>
      <c r="AN19">
        <v>913.56399999999996</v>
      </c>
      <c r="AO19">
        <v>1023.26</v>
      </c>
    </row>
    <row r="20" spans="1:41">
      <c r="A20">
        <v>18</v>
      </c>
      <c r="B20" s="14">
        <v>616.03399999999999</v>
      </c>
      <c r="C20" s="14">
        <v>591.00299999999993</v>
      </c>
      <c r="D20" s="14">
        <v>588.23599999999999</v>
      </c>
      <c r="E20" s="14">
        <v>613.28200000000004</v>
      </c>
      <c r="F20" s="14">
        <v>620.15</v>
      </c>
      <c r="G20" s="14"/>
      <c r="H20" s="14"/>
      <c r="I20" s="14">
        <v>607.35299999999995</v>
      </c>
      <c r="J20" s="14">
        <v>581.86599999999999</v>
      </c>
      <c r="K20" s="14">
        <v>581.77500000000009</v>
      </c>
      <c r="L20" s="14">
        <v>584.23400000000004</v>
      </c>
      <c r="M20" s="14">
        <v>604.22699999999998</v>
      </c>
      <c r="N20" s="14"/>
      <c r="O20" s="14"/>
      <c r="P20" s="14">
        <v>591.46699999999998</v>
      </c>
      <c r="Q20" s="14">
        <v>615.49400000000003</v>
      </c>
      <c r="R20" s="14">
        <v>592.83399999999995</v>
      </c>
      <c r="S20" s="14">
        <v>598.05600000000004</v>
      </c>
      <c r="T20" s="14">
        <v>589.05899999999997</v>
      </c>
      <c r="U20" s="1"/>
      <c r="W20">
        <v>355.22699999999998</v>
      </c>
      <c r="X20">
        <v>372.47800000000001</v>
      </c>
      <c r="Y20">
        <v>972.08799999999997</v>
      </c>
      <c r="Z20">
        <v>1062.1300000000001</v>
      </c>
      <c r="AA20">
        <v>827.06</v>
      </c>
      <c r="AD20">
        <v>372.98</v>
      </c>
      <c r="AE20">
        <v>339.78500000000003</v>
      </c>
      <c r="AF20">
        <v>698.81600000000003</v>
      </c>
      <c r="AG20">
        <v>774.99599999999998</v>
      </c>
      <c r="AH20">
        <v>759.85500000000002</v>
      </c>
      <c r="AK20">
        <v>443.63499999999999</v>
      </c>
      <c r="AL20">
        <v>469.13900000000001</v>
      </c>
      <c r="AM20">
        <v>948.03599999999994</v>
      </c>
      <c r="AN20">
        <v>897.96299999999997</v>
      </c>
      <c r="AO20">
        <v>825.93799999999999</v>
      </c>
    </row>
    <row r="21" spans="1:41">
      <c r="A21">
        <v>19</v>
      </c>
      <c r="B21" s="14">
        <v>604.923</v>
      </c>
      <c r="C21" s="14">
        <v>596.30499999999995</v>
      </c>
      <c r="D21" s="14">
        <v>601.51099999999997</v>
      </c>
      <c r="E21" s="14">
        <v>599.16399999999999</v>
      </c>
      <c r="F21" s="14">
        <v>651.96799999999996</v>
      </c>
      <c r="G21" s="14"/>
      <c r="H21" s="14"/>
      <c r="I21" s="14">
        <v>581.36599999999999</v>
      </c>
      <c r="J21" s="14">
        <v>584.54</v>
      </c>
      <c r="K21" s="14">
        <v>582.30400000000009</v>
      </c>
      <c r="L21" s="14">
        <v>610.05399999999997</v>
      </c>
      <c r="M21" s="14">
        <v>581.79399999999998</v>
      </c>
      <c r="N21" s="14"/>
      <c r="O21" s="14"/>
      <c r="P21" s="14">
        <v>610.67999999999995</v>
      </c>
      <c r="Q21" s="14">
        <v>590.80900000000008</v>
      </c>
      <c r="R21" s="14">
        <v>592.94500000000005</v>
      </c>
      <c r="S21" s="14">
        <v>599.88499999999999</v>
      </c>
      <c r="T21" s="14">
        <v>623.54500000000007</v>
      </c>
      <c r="W21">
        <v>341.71100000000001</v>
      </c>
      <c r="X21">
        <v>377.03500000000003</v>
      </c>
      <c r="Y21">
        <v>784.55499999999995</v>
      </c>
      <c r="Z21">
        <v>1085.4000000000001</v>
      </c>
      <c r="AA21">
        <v>760.71699999999998</v>
      </c>
      <c r="AD21">
        <v>336.67599999999999</v>
      </c>
      <c r="AE21">
        <v>349.59100000000001</v>
      </c>
      <c r="AF21">
        <v>714.03200000000004</v>
      </c>
      <c r="AG21">
        <v>865.197</v>
      </c>
      <c r="AH21">
        <v>860.577</v>
      </c>
      <c r="AK21">
        <v>350.87299999999999</v>
      </c>
      <c r="AL21">
        <v>332.72</v>
      </c>
      <c r="AM21">
        <v>719.46600000000001</v>
      </c>
      <c r="AN21">
        <v>811.976</v>
      </c>
      <c r="AO21">
        <v>746.55100000000004</v>
      </c>
    </row>
    <row r="22" spans="1:41">
      <c r="A22">
        <v>20</v>
      </c>
      <c r="B22" s="14">
        <v>596.51300000000003</v>
      </c>
      <c r="C22" s="14">
        <v>619.88</v>
      </c>
      <c r="D22" s="14">
        <v>590.68399999999997</v>
      </c>
      <c r="E22" s="14">
        <v>642.37099999999998</v>
      </c>
      <c r="F22" s="14">
        <v>587.3549999999999</v>
      </c>
      <c r="G22" s="14"/>
      <c r="H22" s="14"/>
      <c r="I22" s="14">
        <v>582.11699999999996</v>
      </c>
      <c r="J22" s="14">
        <v>582.27099999999996</v>
      </c>
      <c r="K22" s="14">
        <v>583.61799999999994</v>
      </c>
      <c r="L22" s="14">
        <v>610.298</v>
      </c>
      <c r="M22" s="14">
        <v>583.35300000000007</v>
      </c>
      <c r="N22" s="14"/>
      <c r="O22" s="14"/>
      <c r="P22" s="14">
        <v>589.78200000000004</v>
      </c>
      <c r="Q22" s="14">
        <v>591.03600000000006</v>
      </c>
      <c r="R22" s="14">
        <v>593.53199999999993</v>
      </c>
      <c r="S22" s="14">
        <v>612.80700000000002</v>
      </c>
      <c r="T22" s="14">
        <v>591.62300000000005</v>
      </c>
      <c r="U22" s="1"/>
      <c r="W22">
        <v>333.02199999999999</v>
      </c>
      <c r="X22">
        <v>362.13299999999998</v>
      </c>
      <c r="Y22">
        <v>752.75400000000002</v>
      </c>
      <c r="Z22">
        <v>1039.0999999999999</v>
      </c>
      <c r="AA22">
        <v>855.50400000000002</v>
      </c>
      <c r="AD22">
        <v>468.49</v>
      </c>
      <c r="AE22">
        <v>359.71600000000001</v>
      </c>
      <c r="AF22">
        <v>833.125</v>
      </c>
      <c r="AG22">
        <v>871.423</v>
      </c>
      <c r="AH22">
        <v>751.17700000000002</v>
      </c>
      <c r="AK22">
        <v>345.44600000000003</v>
      </c>
      <c r="AL22">
        <v>345.66399999999999</v>
      </c>
      <c r="AM22">
        <v>758.82100000000003</v>
      </c>
      <c r="AN22">
        <v>783.09500000000003</v>
      </c>
      <c r="AO22">
        <v>736.4</v>
      </c>
    </row>
    <row r="23" spans="1:41">
      <c r="A23">
        <v>21</v>
      </c>
      <c r="B23" s="14">
        <v>589.01700000000005</v>
      </c>
      <c r="C23" s="14">
        <v>589.70900000000006</v>
      </c>
      <c r="D23" s="14">
        <v>631.58299999999997</v>
      </c>
      <c r="E23" s="14">
        <v>602.596</v>
      </c>
      <c r="F23" s="14">
        <v>617.649</v>
      </c>
      <c r="G23" s="14"/>
      <c r="H23" s="14"/>
      <c r="I23" s="14">
        <v>588.87199999999996</v>
      </c>
      <c r="J23" s="14">
        <v>582.74700000000007</v>
      </c>
      <c r="K23" s="14">
        <v>601.76</v>
      </c>
      <c r="L23" s="14">
        <v>585.12099999999998</v>
      </c>
      <c r="M23" s="14">
        <v>581.57000000000005</v>
      </c>
      <c r="N23" s="14"/>
      <c r="O23" s="14"/>
      <c r="P23" s="14">
        <v>592.22299999999996</v>
      </c>
      <c r="Q23" s="14">
        <v>590.11</v>
      </c>
      <c r="R23" s="14">
        <v>624.51300000000003</v>
      </c>
      <c r="S23" s="14">
        <v>596.83399999999995</v>
      </c>
      <c r="T23" s="14">
        <v>590.375</v>
      </c>
      <c r="U23" s="1"/>
      <c r="W23">
        <v>393.101</v>
      </c>
      <c r="X23">
        <v>356.50400000000002</v>
      </c>
      <c r="Y23">
        <v>777.24900000000002</v>
      </c>
      <c r="Z23">
        <v>987.68499999999995</v>
      </c>
      <c r="AA23">
        <v>748.08600000000001</v>
      </c>
      <c r="AD23">
        <v>383.42899999999997</v>
      </c>
      <c r="AE23">
        <v>389.29500000000002</v>
      </c>
      <c r="AF23">
        <v>844.93499999999995</v>
      </c>
      <c r="AG23">
        <v>823.12400000000002</v>
      </c>
      <c r="AH23">
        <v>792.97699999999998</v>
      </c>
      <c r="AK23">
        <v>344.755</v>
      </c>
      <c r="AL23">
        <v>341.84</v>
      </c>
      <c r="AM23">
        <v>772.84199999999998</v>
      </c>
      <c r="AN23">
        <v>768.89200000000005</v>
      </c>
      <c r="AO23">
        <v>713.2</v>
      </c>
    </row>
    <row r="24" spans="1:41">
      <c r="A24">
        <v>22</v>
      </c>
      <c r="B24" s="14">
        <v>589.88699999999994</v>
      </c>
      <c r="C24" s="14">
        <v>618.3610000000001</v>
      </c>
      <c r="D24" s="14">
        <v>611.28800000000001</v>
      </c>
      <c r="E24" s="14">
        <v>591.69600000000003</v>
      </c>
      <c r="F24" s="14">
        <v>585.26</v>
      </c>
      <c r="G24" s="14"/>
      <c r="H24" s="14"/>
      <c r="I24" s="14">
        <v>582.32799999999997</v>
      </c>
      <c r="J24" s="14">
        <v>608.14199999999994</v>
      </c>
      <c r="K24" s="14">
        <v>582.98300000000006</v>
      </c>
      <c r="L24" s="14">
        <v>582.84199999999998</v>
      </c>
      <c r="M24" s="14">
        <v>582.904</v>
      </c>
      <c r="N24" s="14"/>
      <c r="O24" s="14"/>
      <c r="P24" s="14">
        <v>600.01599999999996</v>
      </c>
      <c r="Q24" s="14">
        <v>615.61800000000005</v>
      </c>
      <c r="R24" s="14">
        <v>592.00699999999995</v>
      </c>
      <c r="S24" s="14">
        <v>617.23199999999997</v>
      </c>
      <c r="T24" s="14">
        <v>595.29600000000005</v>
      </c>
      <c r="U24" s="1"/>
      <c r="W24">
        <v>374.68799999999999</v>
      </c>
      <c r="X24">
        <v>337.22199999999998</v>
      </c>
      <c r="Y24">
        <v>710.72799999999995</v>
      </c>
      <c r="Z24">
        <v>1194.18</v>
      </c>
      <c r="AA24">
        <v>799.82299999999998</v>
      </c>
      <c r="AD24">
        <v>344.45600000000002</v>
      </c>
      <c r="AE24">
        <v>343.44</v>
      </c>
      <c r="AF24">
        <v>740.779</v>
      </c>
      <c r="AG24">
        <v>771.31500000000005</v>
      </c>
      <c r="AH24">
        <v>731.96600000000001</v>
      </c>
      <c r="AK24">
        <v>356.72300000000001</v>
      </c>
      <c r="AL24">
        <v>335.976</v>
      </c>
      <c r="AM24">
        <v>695.43700000000001</v>
      </c>
      <c r="AN24">
        <v>738.05100000000004</v>
      </c>
      <c r="AO24">
        <v>747.41300000000001</v>
      </c>
    </row>
    <row r="25" spans="1:41">
      <c r="A25">
        <v>23</v>
      </c>
      <c r="B25" s="14">
        <v>599.69799999999998</v>
      </c>
      <c r="C25" s="14">
        <v>612.226</v>
      </c>
      <c r="D25" s="14">
        <v>610.55600000000004</v>
      </c>
      <c r="E25" s="14">
        <v>593.04700000000003</v>
      </c>
      <c r="F25" s="14">
        <v>603.61299999999994</v>
      </c>
      <c r="G25" s="14"/>
      <c r="H25" s="14"/>
      <c r="I25" s="14">
        <v>607.62900000000002</v>
      </c>
      <c r="J25" s="14">
        <v>582.51800000000003</v>
      </c>
      <c r="K25" s="14">
        <v>582.06100000000004</v>
      </c>
      <c r="L25" s="14">
        <v>581.56500000000005</v>
      </c>
      <c r="M25" s="14">
        <v>582.42700000000002</v>
      </c>
      <c r="N25" s="14"/>
      <c r="O25" s="14"/>
      <c r="P25" s="14">
        <v>592.02599999999995</v>
      </c>
      <c r="Q25" s="14">
        <v>620.904</v>
      </c>
      <c r="R25" s="14">
        <v>592.904</v>
      </c>
      <c r="S25" s="14">
        <v>592.19799999999998</v>
      </c>
      <c r="T25" s="14">
        <v>588.577</v>
      </c>
      <c r="U25" s="1"/>
      <c r="W25">
        <v>379.839</v>
      </c>
      <c r="X25">
        <v>395.85399999999998</v>
      </c>
      <c r="Y25">
        <v>905.00900000000001</v>
      </c>
      <c r="Z25">
        <v>986.27</v>
      </c>
      <c r="AA25">
        <v>726.13199999999995</v>
      </c>
      <c r="AD25">
        <v>333.06</v>
      </c>
      <c r="AE25">
        <v>375.93099999999998</v>
      </c>
      <c r="AF25">
        <v>717.31200000000001</v>
      </c>
      <c r="AG25">
        <v>753.71299999999997</v>
      </c>
      <c r="AH25">
        <v>727.03200000000004</v>
      </c>
      <c r="AK25">
        <v>332.03399999999999</v>
      </c>
      <c r="AL25">
        <v>327.50900000000001</v>
      </c>
      <c r="AM25">
        <v>696.39700000000005</v>
      </c>
      <c r="AN25">
        <v>736.60400000000004</v>
      </c>
      <c r="AO25">
        <v>736.3</v>
      </c>
    </row>
    <row r="26" spans="1:41">
      <c r="A26">
        <v>24</v>
      </c>
      <c r="B26" s="14">
        <v>607.68200000000002</v>
      </c>
      <c r="C26" s="14">
        <v>605.6160000000001</v>
      </c>
      <c r="D26" s="14">
        <v>603.43999999999994</v>
      </c>
      <c r="E26" s="14">
        <v>595.846</v>
      </c>
      <c r="F26" s="14">
        <v>599.95799999999997</v>
      </c>
      <c r="G26" s="14"/>
      <c r="H26" s="14"/>
      <c r="I26" s="14">
        <v>608.38300000000004</v>
      </c>
      <c r="J26" s="14">
        <v>581.97799999999995</v>
      </c>
      <c r="K26" s="14">
        <v>582.78600000000006</v>
      </c>
      <c r="L26" s="14">
        <v>584.43999999999994</v>
      </c>
      <c r="M26" s="14">
        <v>599.89700000000005</v>
      </c>
      <c r="N26" s="14"/>
      <c r="O26" s="14"/>
      <c r="P26" s="14">
        <v>613.59799999999996</v>
      </c>
      <c r="Q26" s="14">
        <v>590.495</v>
      </c>
      <c r="R26" s="14">
        <v>597.005</v>
      </c>
      <c r="S26" s="14">
        <v>594.59899999999993</v>
      </c>
      <c r="T26" s="14">
        <v>605.36900000000003</v>
      </c>
      <c r="U26" s="1"/>
      <c r="W26">
        <v>328.495</v>
      </c>
      <c r="X26">
        <v>361.36700000000002</v>
      </c>
      <c r="Y26">
        <v>777.99099999999999</v>
      </c>
      <c r="Z26">
        <v>989.94299999999998</v>
      </c>
      <c r="AA26">
        <v>753.86</v>
      </c>
      <c r="AD26">
        <v>385.096</v>
      </c>
      <c r="AE26">
        <v>333.02699999999999</v>
      </c>
      <c r="AF26">
        <v>718.70299999999997</v>
      </c>
      <c r="AG26">
        <v>758.3</v>
      </c>
      <c r="AH26">
        <v>768.61800000000005</v>
      </c>
      <c r="AK26">
        <v>341.16</v>
      </c>
      <c r="AL26">
        <v>347.25700000000001</v>
      </c>
      <c r="AM26">
        <v>723.69200000000001</v>
      </c>
      <c r="AN26">
        <v>799.53599999999994</v>
      </c>
      <c r="AO26">
        <v>741.96400000000006</v>
      </c>
    </row>
    <row r="27" spans="1:41">
      <c r="A27">
        <v>25</v>
      </c>
      <c r="B27" s="14">
        <v>607.851</v>
      </c>
      <c r="C27" s="14">
        <v>613.154</v>
      </c>
      <c r="D27" s="14">
        <v>600.76499999999999</v>
      </c>
      <c r="E27" s="14">
        <v>600.08300000000008</v>
      </c>
      <c r="F27" s="14">
        <v>623.06600000000003</v>
      </c>
      <c r="G27" s="14"/>
      <c r="H27" s="14"/>
      <c r="I27" s="14">
        <v>582.16300000000001</v>
      </c>
      <c r="J27" s="14">
        <v>586.96</v>
      </c>
      <c r="K27" s="14">
        <v>589.44600000000003</v>
      </c>
      <c r="L27" s="14">
        <v>612.40899999999999</v>
      </c>
      <c r="M27" s="14">
        <v>597.00900000000001</v>
      </c>
      <c r="N27" s="14"/>
      <c r="O27" s="14"/>
      <c r="P27" s="14">
        <v>591.16200000000003</v>
      </c>
      <c r="Q27" s="14">
        <v>591.23</v>
      </c>
      <c r="R27" s="14">
        <v>593.22399999999993</v>
      </c>
      <c r="S27" s="14">
        <v>617.43099999999993</v>
      </c>
      <c r="T27" s="14">
        <v>587.68500000000006</v>
      </c>
      <c r="U27" s="1"/>
      <c r="W27">
        <v>383.46699999999998</v>
      </c>
      <c r="X27">
        <v>439.90300000000002</v>
      </c>
      <c r="Y27">
        <v>884.28700000000003</v>
      </c>
      <c r="Z27">
        <v>1102.0999999999999</v>
      </c>
      <c r="AA27">
        <v>854.524</v>
      </c>
      <c r="AD27">
        <v>349.154</v>
      </c>
      <c r="AE27">
        <v>363.36900000000003</v>
      </c>
      <c r="AF27">
        <v>811.75900000000001</v>
      </c>
      <c r="AG27">
        <v>860.53</v>
      </c>
      <c r="AH27">
        <v>966.98699999999997</v>
      </c>
      <c r="AK27">
        <v>359.66699999999997</v>
      </c>
      <c r="AL27">
        <v>359.67700000000002</v>
      </c>
      <c r="AM27">
        <v>789.971</v>
      </c>
      <c r="AN27">
        <v>856.69500000000005</v>
      </c>
      <c r="AO27">
        <v>909.09799999999996</v>
      </c>
    </row>
    <row r="28" spans="1:41" hidden="1">
      <c r="A28">
        <v>26</v>
      </c>
      <c r="B28" s="14">
        <v>608.60400000000004</v>
      </c>
      <c r="C28" s="14">
        <v>657.54</v>
      </c>
      <c r="D28" s="14">
        <v>584.78300000000002</v>
      </c>
      <c r="E28" s="14">
        <v>626.13499999999999</v>
      </c>
      <c r="F28" s="14">
        <v>593.98599999999999</v>
      </c>
      <c r="G28" s="14"/>
      <c r="H28" s="14"/>
      <c r="I28" s="14">
        <v>584.79300000000001</v>
      </c>
      <c r="J28" s="14">
        <v>586.40599999999995</v>
      </c>
      <c r="K28" s="14">
        <v>583.06899999999996</v>
      </c>
      <c r="L28" s="14">
        <v>648.3370000000001</v>
      </c>
      <c r="M28" s="14">
        <v>586.39800000000002</v>
      </c>
      <c r="N28" s="14"/>
      <c r="O28" s="14"/>
      <c r="P28" s="14">
        <v>591.95500000000004</v>
      </c>
      <c r="Q28" s="14">
        <v>590.46399999999994</v>
      </c>
      <c r="R28" s="14">
        <v>617.48299999999995</v>
      </c>
      <c r="S28" s="14">
        <v>594.18700000000001</v>
      </c>
      <c r="T28" s="14">
        <v>598.82299999999998</v>
      </c>
      <c r="U28" s="1"/>
      <c r="W28">
        <v>408.858</v>
      </c>
      <c r="X28">
        <v>406.33300000000003</v>
      </c>
      <c r="Y28">
        <v>870.18700000000001</v>
      </c>
      <c r="Z28">
        <v>1157.5999999999999</v>
      </c>
      <c r="AA28">
        <v>849.66399999999999</v>
      </c>
      <c r="AD28">
        <v>376.03199999999998</v>
      </c>
      <c r="AE28">
        <v>418.16800000000001</v>
      </c>
      <c r="AF28">
        <v>894.08299999999997</v>
      </c>
      <c r="AG28">
        <v>887.99400000000003</v>
      </c>
      <c r="AH28">
        <v>799.90499999999997</v>
      </c>
      <c r="AK28">
        <v>396.72800000000001</v>
      </c>
      <c r="AL28">
        <v>356.52300000000002</v>
      </c>
      <c r="AM28">
        <v>839.40300000000002</v>
      </c>
      <c r="AN28">
        <v>773.61</v>
      </c>
      <c r="AO28">
        <v>756.83299999999997</v>
      </c>
    </row>
    <row r="29" spans="1:41" hidden="1">
      <c r="A29">
        <v>27</v>
      </c>
      <c r="B29" s="14">
        <v>590.25699999999995</v>
      </c>
      <c r="C29" s="14">
        <v>592.18299999999999</v>
      </c>
      <c r="D29" s="14">
        <v>633.22900000000004</v>
      </c>
      <c r="E29" s="14">
        <v>590.97500000000002</v>
      </c>
      <c r="F29" s="14">
        <v>618.88499999999999</v>
      </c>
      <c r="G29" s="14"/>
      <c r="H29" s="14"/>
      <c r="I29" s="14">
        <v>582.82799999999997</v>
      </c>
      <c r="J29" s="14">
        <v>583.48099999999999</v>
      </c>
      <c r="K29" s="14">
        <v>606.32399999999996</v>
      </c>
      <c r="L29" s="14">
        <v>674.01299999999992</v>
      </c>
      <c r="M29" s="14">
        <v>591.50599999999997</v>
      </c>
      <c r="N29" s="14"/>
      <c r="O29" s="14"/>
      <c r="P29" s="14">
        <v>593.56600000000003</v>
      </c>
      <c r="Q29" s="14">
        <v>596.51299999999992</v>
      </c>
      <c r="R29" s="14">
        <v>621.44200000000001</v>
      </c>
      <c r="S29" s="14">
        <v>609.73500000000001</v>
      </c>
      <c r="T29" s="14">
        <v>591.31599999999992</v>
      </c>
      <c r="W29">
        <v>391.92399999999998</v>
      </c>
      <c r="X29">
        <v>383.45299999999997</v>
      </c>
      <c r="Y29">
        <v>745.06899999999996</v>
      </c>
      <c r="Z29">
        <v>982.49699999999996</v>
      </c>
      <c r="AA29">
        <v>786.41</v>
      </c>
      <c r="AD29">
        <v>366.125</v>
      </c>
      <c r="AE29">
        <v>375.31799999999998</v>
      </c>
      <c r="AF29">
        <v>771.43499999999995</v>
      </c>
      <c r="AG29">
        <v>762.38599999999997</v>
      </c>
      <c r="AH29">
        <v>768.18100000000004</v>
      </c>
      <c r="AK29">
        <v>331.62900000000002</v>
      </c>
      <c r="AL29">
        <v>328.31099999999998</v>
      </c>
      <c r="AM29">
        <v>716.43499999999995</v>
      </c>
      <c r="AN29">
        <v>736.88699999999994</v>
      </c>
      <c r="AO29">
        <v>710.60400000000004</v>
      </c>
    </row>
    <row r="30" spans="1:41" hidden="1">
      <c r="A30">
        <v>28</v>
      </c>
      <c r="B30" s="14">
        <v>590.6</v>
      </c>
      <c r="C30" s="14">
        <v>597.35400000000004</v>
      </c>
      <c r="D30" s="14">
        <v>607.19900000000007</v>
      </c>
      <c r="E30" s="14">
        <v>605.85500000000002</v>
      </c>
      <c r="F30" s="14">
        <v>595.15899999999999</v>
      </c>
      <c r="G30" s="14"/>
      <c r="H30" s="14"/>
      <c r="I30" s="14">
        <v>582.16700000000003</v>
      </c>
      <c r="J30" s="14">
        <v>604.22699999999998</v>
      </c>
      <c r="K30" s="14">
        <v>587.07900000000006</v>
      </c>
      <c r="L30" s="14">
        <v>583.88</v>
      </c>
      <c r="M30" s="14">
        <v>582.25900000000001</v>
      </c>
      <c r="N30" s="14"/>
      <c r="O30" s="14"/>
      <c r="P30" s="14">
        <v>593.95500000000004</v>
      </c>
      <c r="Q30" s="14">
        <v>628.11399999999992</v>
      </c>
      <c r="R30" s="14">
        <v>625.04300000000001</v>
      </c>
      <c r="S30" s="14">
        <v>593.97299999999996</v>
      </c>
      <c r="T30" s="14">
        <v>613.26300000000003</v>
      </c>
      <c r="U30" s="1"/>
      <c r="W30">
        <v>317.98</v>
      </c>
      <c r="X30">
        <v>335.55200000000002</v>
      </c>
      <c r="Y30">
        <v>717.39599999999996</v>
      </c>
      <c r="Z30">
        <v>960.947</v>
      </c>
      <c r="AA30">
        <v>724.34699999999998</v>
      </c>
      <c r="AD30">
        <v>338.226</v>
      </c>
      <c r="AE30">
        <v>360.32299999999998</v>
      </c>
      <c r="AF30">
        <v>736.58399999999995</v>
      </c>
      <c r="AG30">
        <v>768.44399999999996</v>
      </c>
      <c r="AH30">
        <v>787.54200000000003</v>
      </c>
      <c r="AK30">
        <v>357.78899999999999</v>
      </c>
      <c r="AL30">
        <v>329.81099999999998</v>
      </c>
      <c r="AM30">
        <v>705.01900000000001</v>
      </c>
      <c r="AN30">
        <v>756.66200000000003</v>
      </c>
      <c r="AO30">
        <v>768.97699999999998</v>
      </c>
    </row>
    <row r="31" spans="1:41" hidden="1">
      <c r="A31">
        <v>29</v>
      </c>
      <c r="B31" s="14">
        <v>588.65300000000002</v>
      </c>
      <c r="C31" s="14">
        <v>617.06299999999999</v>
      </c>
      <c r="D31" s="14">
        <v>596.827</v>
      </c>
      <c r="E31" s="14">
        <v>606.23599999999999</v>
      </c>
      <c r="F31" s="14">
        <v>599.03</v>
      </c>
      <c r="G31" s="14"/>
      <c r="H31" s="14"/>
      <c r="I31" s="14">
        <v>605.02300000000002</v>
      </c>
      <c r="J31" s="14">
        <v>583.03200000000004</v>
      </c>
      <c r="K31" s="14">
        <v>583.22900000000004</v>
      </c>
      <c r="L31" s="14">
        <v>583.80799999999999</v>
      </c>
      <c r="M31" s="14">
        <v>584.20499999999993</v>
      </c>
      <c r="N31" s="14"/>
      <c r="O31" s="14"/>
      <c r="P31" s="14">
        <v>628.48</v>
      </c>
      <c r="Q31" s="14">
        <v>594.18899999999996</v>
      </c>
      <c r="R31" s="14">
        <v>595.21800000000007</v>
      </c>
      <c r="S31" s="14">
        <v>601.86399999999992</v>
      </c>
      <c r="T31" s="14">
        <v>621.54100000000005</v>
      </c>
      <c r="U31" s="1"/>
      <c r="W31">
        <v>337.11500000000001</v>
      </c>
      <c r="X31">
        <v>358.846</v>
      </c>
      <c r="Y31">
        <v>779.99300000000005</v>
      </c>
      <c r="Z31">
        <v>992.20600000000002</v>
      </c>
      <c r="AA31">
        <v>741.61800000000005</v>
      </c>
      <c r="AD31">
        <v>401.87299999999999</v>
      </c>
      <c r="AE31">
        <v>371.76499999999999</v>
      </c>
      <c r="AF31">
        <v>820.67399999999998</v>
      </c>
      <c r="AG31">
        <v>935.84299999999996</v>
      </c>
      <c r="AH31">
        <v>824.40300000000002</v>
      </c>
      <c r="AK31">
        <v>344.43400000000003</v>
      </c>
      <c r="AL31">
        <v>343.95600000000002</v>
      </c>
      <c r="AM31">
        <v>733.81299999999999</v>
      </c>
      <c r="AN31">
        <v>772.92100000000005</v>
      </c>
      <c r="AO31">
        <v>775.28300000000002</v>
      </c>
    </row>
    <row r="32" spans="1:41" hidden="1">
      <c r="A32">
        <v>30</v>
      </c>
      <c r="B32" s="14">
        <v>618.72</v>
      </c>
      <c r="C32" s="14">
        <v>582.45800000000008</v>
      </c>
      <c r="D32" s="14">
        <v>617.15899999999999</v>
      </c>
      <c r="E32" s="14">
        <v>594.77700000000004</v>
      </c>
      <c r="F32" s="14">
        <v>616.93700000000001</v>
      </c>
      <c r="G32" s="14"/>
      <c r="H32" s="14"/>
      <c r="I32" s="14">
        <v>609.60599999999999</v>
      </c>
      <c r="J32" s="14">
        <v>584.16199999999992</v>
      </c>
      <c r="K32" s="14">
        <v>581.21199999999999</v>
      </c>
      <c r="L32" s="14">
        <v>583.68500000000006</v>
      </c>
      <c r="M32" s="14">
        <v>601.16199999999992</v>
      </c>
      <c r="N32" s="14"/>
      <c r="O32" s="14"/>
      <c r="P32" s="14">
        <v>602.06500000000005</v>
      </c>
      <c r="Q32" s="14">
        <v>608.18899999999996</v>
      </c>
      <c r="R32" s="14">
        <v>622.49800000000005</v>
      </c>
      <c r="S32" s="14">
        <v>608.60199999999998</v>
      </c>
      <c r="T32" s="14">
        <v>590.08400000000006</v>
      </c>
      <c r="U32" s="1"/>
      <c r="W32">
        <v>328.16899999999998</v>
      </c>
      <c r="X32">
        <v>374.44099999999997</v>
      </c>
      <c r="Y32">
        <v>782.17499999999995</v>
      </c>
      <c r="Z32">
        <v>973.971</v>
      </c>
      <c r="AA32">
        <v>756.87800000000004</v>
      </c>
      <c r="AD32">
        <v>380.85</v>
      </c>
      <c r="AE32">
        <v>374.62200000000001</v>
      </c>
      <c r="AF32">
        <v>788.17700000000002</v>
      </c>
      <c r="AG32">
        <v>903.54399999999998</v>
      </c>
      <c r="AH32">
        <v>834.73599999999999</v>
      </c>
      <c r="AK32">
        <v>341.488</v>
      </c>
      <c r="AL32">
        <v>346.02699999999999</v>
      </c>
      <c r="AM32">
        <v>698.52599999999995</v>
      </c>
      <c r="AN32">
        <v>769.98</v>
      </c>
      <c r="AO32">
        <v>718.94799999999998</v>
      </c>
    </row>
    <row r="33" spans="1:41" hidden="1">
      <c r="A33">
        <v>31</v>
      </c>
      <c r="B33" s="14">
        <v>587.99400000000003</v>
      </c>
      <c r="C33" s="14">
        <v>596.89599999999996</v>
      </c>
      <c r="D33" s="14">
        <v>593.43399999999997</v>
      </c>
      <c r="E33" s="14">
        <v>607.36900000000003</v>
      </c>
      <c r="F33" s="14">
        <v>640.29599999999994</v>
      </c>
      <c r="G33" s="14"/>
      <c r="H33" s="14"/>
      <c r="I33" s="14">
        <v>583.30200000000002</v>
      </c>
      <c r="J33" s="14">
        <v>582.07600000000002</v>
      </c>
      <c r="K33" s="14">
        <v>582.82399999999996</v>
      </c>
      <c r="L33" s="14">
        <v>608.98500000000001</v>
      </c>
      <c r="M33" s="14">
        <v>582.97</v>
      </c>
      <c r="N33" s="14"/>
      <c r="O33" s="14"/>
      <c r="P33" s="14">
        <v>626.89700000000005</v>
      </c>
      <c r="Q33" s="14">
        <v>704.61599999999999</v>
      </c>
      <c r="R33" s="14">
        <v>600.99499999999989</v>
      </c>
      <c r="S33" s="14">
        <v>593.18499999999995</v>
      </c>
      <c r="T33" s="14">
        <v>615.88299999999992</v>
      </c>
      <c r="U33" s="1"/>
      <c r="W33">
        <v>369.95</v>
      </c>
      <c r="X33">
        <v>358.96199999999999</v>
      </c>
      <c r="Y33">
        <v>748.50199999999995</v>
      </c>
      <c r="Z33">
        <v>1040.6500000000001</v>
      </c>
      <c r="AA33">
        <v>861.66800000000001</v>
      </c>
      <c r="AD33">
        <v>381.995</v>
      </c>
      <c r="AE33">
        <v>333.22199999999998</v>
      </c>
      <c r="AF33">
        <v>711.22799999999995</v>
      </c>
      <c r="AG33">
        <v>802.74199999999996</v>
      </c>
      <c r="AH33">
        <v>732.54300000000001</v>
      </c>
      <c r="AK33">
        <v>332.36599999999999</v>
      </c>
      <c r="AL33">
        <v>326.92599999999999</v>
      </c>
      <c r="AM33">
        <v>696.38800000000003</v>
      </c>
      <c r="AN33">
        <v>770.07299999999998</v>
      </c>
      <c r="AO33">
        <v>709.05899999999997</v>
      </c>
    </row>
    <row r="34" spans="1:41" hidden="1">
      <c r="A34">
        <v>32</v>
      </c>
      <c r="B34" s="14">
        <v>594.71699999999998</v>
      </c>
      <c r="C34" s="14">
        <v>593.24200000000008</v>
      </c>
      <c r="D34" s="14">
        <v>587.83500000000004</v>
      </c>
      <c r="E34" s="14">
        <v>623.31799999999998</v>
      </c>
      <c r="F34" s="14">
        <v>597.59100000000001</v>
      </c>
      <c r="G34" s="14"/>
      <c r="H34" s="14"/>
      <c r="I34" s="14">
        <v>582.79100000000005</v>
      </c>
      <c r="J34" s="14">
        <v>584.11699999999996</v>
      </c>
      <c r="K34" s="14">
        <v>608.00299999999993</v>
      </c>
      <c r="L34" s="14">
        <v>585.45100000000002</v>
      </c>
      <c r="M34" s="14">
        <v>581.18899999999996</v>
      </c>
      <c r="N34" s="14"/>
      <c r="O34" s="14"/>
      <c r="P34" s="14">
        <v>614.00699999999995</v>
      </c>
      <c r="Q34" s="14">
        <v>590.30200000000002</v>
      </c>
      <c r="R34" s="14">
        <v>592.72199999999998</v>
      </c>
      <c r="S34" s="14">
        <v>596.09299999999996</v>
      </c>
      <c r="T34" s="14">
        <v>591.66899999999998</v>
      </c>
      <c r="U34" s="1"/>
      <c r="W34">
        <v>353.471</v>
      </c>
      <c r="X34">
        <v>425.04899999999998</v>
      </c>
      <c r="Y34">
        <v>840.95399999999995</v>
      </c>
      <c r="Z34">
        <v>1087.6500000000001</v>
      </c>
      <c r="AA34">
        <v>822.84799999999996</v>
      </c>
      <c r="AD34">
        <v>341.495</v>
      </c>
      <c r="AE34">
        <v>344.27199999999999</v>
      </c>
      <c r="AF34">
        <v>708.76300000000003</v>
      </c>
      <c r="AG34">
        <v>774.17100000000005</v>
      </c>
      <c r="AH34">
        <v>736.59299999999996</v>
      </c>
      <c r="AK34">
        <v>342.012</v>
      </c>
      <c r="AL34">
        <v>346.44</v>
      </c>
      <c r="AM34">
        <v>724.58799999999997</v>
      </c>
      <c r="AN34">
        <v>737.96600000000001</v>
      </c>
      <c r="AO34">
        <v>710.42899999999997</v>
      </c>
    </row>
    <row r="35" spans="1:41" hidden="1">
      <c r="A35">
        <v>33</v>
      </c>
      <c r="B35" s="14">
        <v>593.87900000000002</v>
      </c>
      <c r="C35" s="14">
        <v>591.65700000000004</v>
      </c>
      <c r="D35" s="14">
        <v>607.57399999999996</v>
      </c>
      <c r="E35" s="14">
        <v>604.02199999999993</v>
      </c>
      <c r="F35" s="14">
        <v>588.78200000000004</v>
      </c>
      <c r="G35" s="14"/>
      <c r="H35" s="14"/>
      <c r="I35" s="14">
        <v>581.91399999999999</v>
      </c>
      <c r="J35" s="14">
        <v>584.47400000000005</v>
      </c>
      <c r="K35" s="14">
        <v>612.87899999999991</v>
      </c>
      <c r="L35" s="14">
        <v>582.68100000000004</v>
      </c>
      <c r="M35" s="14">
        <v>582.78899999999999</v>
      </c>
      <c r="N35" s="14"/>
      <c r="O35" s="14"/>
      <c r="P35" s="14">
        <v>613.43799999999999</v>
      </c>
      <c r="Q35" s="14">
        <v>591.20899999999995</v>
      </c>
      <c r="R35" s="14">
        <v>593.41500000000008</v>
      </c>
      <c r="S35" s="14">
        <v>595.01499999999999</v>
      </c>
      <c r="T35" s="14">
        <v>616.90100000000007</v>
      </c>
      <c r="U35" s="1"/>
      <c r="W35">
        <v>367.98</v>
      </c>
      <c r="X35">
        <v>376.64800000000002</v>
      </c>
      <c r="Y35">
        <v>818.42499999999995</v>
      </c>
      <c r="Z35">
        <v>1043.48</v>
      </c>
      <c r="AA35">
        <v>760.70699999999999</v>
      </c>
      <c r="AD35">
        <v>333.71300000000002</v>
      </c>
      <c r="AE35">
        <v>354.06400000000002</v>
      </c>
      <c r="AF35">
        <v>725.72699999999998</v>
      </c>
      <c r="AG35">
        <v>778.601</v>
      </c>
      <c r="AH35">
        <v>777.29600000000005</v>
      </c>
      <c r="AK35">
        <v>357.32299999999998</v>
      </c>
      <c r="AL35">
        <v>342.209</v>
      </c>
      <c r="AM35">
        <v>724.86699999999996</v>
      </c>
      <c r="AN35">
        <v>737.47</v>
      </c>
      <c r="AO35">
        <v>709.36</v>
      </c>
    </row>
    <row r="36" spans="1:41" hidden="1">
      <c r="A36">
        <v>34</v>
      </c>
      <c r="B36" s="14">
        <v>613.149</v>
      </c>
      <c r="C36" s="14">
        <v>628.66399999999999</v>
      </c>
      <c r="D36" s="14">
        <v>586.79399999999998</v>
      </c>
      <c r="E36" s="14">
        <v>605.83699999999999</v>
      </c>
      <c r="F36" s="14">
        <v>593.94000000000005</v>
      </c>
      <c r="G36" s="14"/>
      <c r="H36" s="14"/>
      <c r="I36" s="14">
        <v>582.673</v>
      </c>
      <c r="J36" s="14">
        <v>609.22500000000002</v>
      </c>
      <c r="K36" s="14">
        <v>583.02499999999998</v>
      </c>
      <c r="L36" s="14">
        <v>583.18299999999999</v>
      </c>
      <c r="M36" s="14">
        <v>588.97</v>
      </c>
      <c r="N36" s="14"/>
      <c r="O36" s="14"/>
      <c r="P36" s="14">
        <v>590.94200000000001</v>
      </c>
      <c r="Q36" s="14">
        <v>591.19399999999996</v>
      </c>
      <c r="R36" s="14">
        <v>594.47500000000002</v>
      </c>
      <c r="S36" s="14">
        <v>619.29999999999995</v>
      </c>
      <c r="T36" s="14">
        <v>589.32799999999997</v>
      </c>
      <c r="U36" s="1"/>
      <c r="W36">
        <v>324.81099999999998</v>
      </c>
      <c r="X36">
        <v>359.63</v>
      </c>
      <c r="Y36">
        <v>711.37300000000005</v>
      </c>
      <c r="Z36">
        <v>942.78499999999997</v>
      </c>
      <c r="AA36">
        <v>743.14800000000002</v>
      </c>
      <c r="AD36">
        <v>337.67399999999998</v>
      </c>
      <c r="AE36">
        <v>342.41899999999998</v>
      </c>
      <c r="AF36">
        <v>742.48699999999997</v>
      </c>
      <c r="AG36">
        <v>860.25599999999997</v>
      </c>
      <c r="AH36">
        <v>834.95500000000004</v>
      </c>
      <c r="AK36">
        <v>331.04</v>
      </c>
      <c r="AL36">
        <v>353.66800000000001</v>
      </c>
      <c r="AM36">
        <v>696.90200000000004</v>
      </c>
      <c r="AN36">
        <v>738.79100000000005</v>
      </c>
      <c r="AO36">
        <v>708.27499999999998</v>
      </c>
    </row>
    <row r="37" spans="1:41" hidden="1">
      <c r="A37">
        <v>35</v>
      </c>
      <c r="B37" s="14">
        <v>617.53800000000001</v>
      </c>
      <c r="C37" s="14">
        <v>598.53800000000001</v>
      </c>
      <c r="D37" s="14">
        <v>594.04100000000005</v>
      </c>
      <c r="E37" s="14">
        <v>598.63800000000003</v>
      </c>
      <c r="F37" s="14">
        <v>623.97400000000005</v>
      </c>
      <c r="G37" s="14"/>
      <c r="H37" s="14"/>
      <c r="I37" s="14">
        <v>585.07899999999995</v>
      </c>
      <c r="J37" s="14">
        <v>606.22</v>
      </c>
      <c r="K37" s="14">
        <v>584.12699999999995</v>
      </c>
      <c r="L37" s="14">
        <v>584.50500000000011</v>
      </c>
      <c r="M37" s="14">
        <v>589.26599999999996</v>
      </c>
      <c r="N37" s="14"/>
      <c r="O37" s="14"/>
      <c r="P37" s="14">
        <v>590.16600000000005</v>
      </c>
      <c r="Q37" s="14">
        <v>592.28300000000002</v>
      </c>
      <c r="R37" s="14">
        <v>609.47300000000007</v>
      </c>
      <c r="S37" s="14">
        <v>593.76300000000003</v>
      </c>
      <c r="T37" s="14">
        <v>587.88300000000004</v>
      </c>
      <c r="U37" s="1"/>
      <c r="W37">
        <v>319.20400000000001</v>
      </c>
      <c r="X37">
        <v>335.90300000000002</v>
      </c>
      <c r="Y37">
        <v>705.91200000000003</v>
      </c>
      <c r="Z37">
        <v>940.02700000000004</v>
      </c>
      <c r="AA37">
        <v>779.55100000000004</v>
      </c>
      <c r="AD37">
        <v>364.53899999999999</v>
      </c>
      <c r="AE37">
        <v>366.40899999999999</v>
      </c>
      <c r="AF37">
        <v>753.51700000000005</v>
      </c>
      <c r="AG37">
        <v>791.57</v>
      </c>
      <c r="AH37">
        <v>806.21299999999997</v>
      </c>
      <c r="AK37">
        <v>357.04700000000003</v>
      </c>
      <c r="AL37">
        <v>328.86599999999999</v>
      </c>
      <c r="AM37">
        <v>698.822</v>
      </c>
      <c r="AN37">
        <v>736.68100000000004</v>
      </c>
      <c r="AO37">
        <v>729.75300000000004</v>
      </c>
    </row>
    <row r="38" spans="1:41" hidden="1">
      <c r="A38">
        <v>36</v>
      </c>
      <c r="B38" s="14">
        <v>591.05600000000004</v>
      </c>
      <c r="C38" s="14">
        <v>663.94100000000003</v>
      </c>
      <c r="D38" s="14">
        <v>618.29999999999995</v>
      </c>
      <c r="E38" s="14">
        <v>594.13800000000003</v>
      </c>
      <c r="F38" s="14">
        <v>619.34799999999996</v>
      </c>
      <c r="G38" s="14"/>
      <c r="H38" s="14"/>
      <c r="I38" s="14">
        <v>615.03899999999999</v>
      </c>
      <c r="J38" s="14">
        <v>592.83900000000006</v>
      </c>
      <c r="K38" s="14">
        <v>599.03899999999999</v>
      </c>
      <c r="L38" s="14">
        <v>584.15600000000006</v>
      </c>
      <c r="M38" s="14">
        <v>588.83199999999999</v>
      </c>
      <c r="N38" s="14"/>
      <c r="O38" s="14"/>
      <c r="P38" s="14">
        <v>662.20299999999997</v>
      </c>
      <c r="Q38" s="14">
        <v>607.28399999999999</v>
      </c>
      <c r="R38" s="14">
        <v>595.53199999999993</v>
      </c>
      <c r="S38" s="14">
        <v>593.17899999999997</v>
      </c>
      <c r="T38" s="14">
        <v>590.77300000000002</v>
      </c>
      <c r="U38" s="1"/>
      <c r="W38">
        <v>333.25900000000001</v>
      </c>
      <c r="X38">
        <v>356.28</v>
      </c>
      <c r="Y38">
        <v>737.46799999999996</v>
      </c>
      <c r="Z38">
        <v>1002.94</v>
      </c>
      <c r="AA38">
        <v>747.06399999999996</v>
      </c>
      <c r="AD38">
        <v>353.50400000000002</v>
      </c>
      <c r="AE38">
        <v>415.34</v>
      </c>
      <c r="AF38">
        <v>810.56500000000005</v>
      </c>
      <c r="AG38">
        <v>801.53599999999994</v>
      </c>
      <c r="AH38">
        <v>845.15899999999999</v>
      </c>
      <c r="AK38">
        <v>333.137</v>
      </c>
      <c r="AL38">
        <v>329.38600000000002</v>
      </c>
      <c r="AM38">
        <v>757.15599999999995</v>
      </c>
      <c r="AN38">
        <v>737.76400000000001</v>
      </c>
      <c r="AO38">
        <v>737.20500000000004</v>
      </c>
    </row>
    <row r="39" spans="1:41" hidden="1">
      <c r="A39">
        <v>37</v>
      </c>
      <c r="B39" s="14">
        <v>586.09400000000005</v>
      </c>
      <c r="C39" s="14">
        <v>598.529</v>
      </c>
      <c r="D39" s="14">
        <v>596.80500000000006</v>
      </c>
      <c r="E39" s="14">
        <v>631.19999999999993</v>
      </c>
      <c r="F39" s="14">
        <v>586.48900000000003</v>
      </c>
      <c r="G39" s="14"/>
      <c r="H39" s="14"/>
      <c r="I39" s="14">
        <v>582.27200000000005</v>
      </c>
      <c r="J39" s="14">
        <v>582.78899999999999</v>
      </c>
      <c r="K39" s="14">
        <v>583.06899999999996</v>
      </c>
      <c r="L39" s="14">
        <v>583.57099999999991</v>
      </c>
      <c r="M39" s="14">
        <v>612.14300000000003</v>
      </c>
      <c r="N39" s="14"/>
      <c r="O39" s="14"/>
      <c r="P39" s="14">
        <v>610.226</v>
      </c>
      <c r="Q39" s="14">
        <v>592.5200000000001</v>
      </c>
      <c r="R39" s="14">
        <v>592.77700000000004</v>
      </c>
      <c r="S39" s="14">
        <v>593.36599999999999</v>
      </c>
      <c r="T39" s="14">
        <v>588.88900000000001</v>
      </c>
      <c r="U39" s="1"/>
      <c r="W39">
        <v>334.09500000000003</v>
      </c>
      <c r="X39">
        <v>363.10300000000001</v>
      </c>
      <c r="Y39">
        <v>768.93200000000002</v>
      </c>
      <c r="Z39">
        <v>992.79100000000005</v>
      </c>
      <c r="AA39">
        <v>750.82299999999998</v>
      </c>
      <c r="AD39">
        <v>383.70400000000001</v>
      </c>
      <c r="AE39">
        <v>376.99</v>
      </c>
      <c r="AF39">
        <v>788.27599999999995</v>
      </c>
      <c r="AG39">
        <v>809.81799999999998</v>
      </c>
      <c r="AH39">
        <v>732.59299999999996</v>
      </c>
      <c r="AK39">
        <v>330.94900000000001</v>
      </c>
      <c r="AL39">
        <v>329.56599999999997</v>
      </c>
      <c r="AM39">
        <v>699.08900000000006</v>
      </c>
      <c r="AN39">
        <v>752.399</v>
      </c>
      <c r="AO39">
        <v>729.32500000000005</v>
      </c>
    </row>
    <row r="40" spans="1:41" hidden="1">
      <c r="A40">
        <v>38</v>
      </c>
      <c r="B40" s="14">
        <v>616.86699999999996</v>
      </c>
      <c r="C40" s="14">
        <v>643.44500000000005</v>
      </c>
      <c r="D40" s="14">
        <v>637.53099999999995</v>
      </c>
      <c r="E40" s="14">
        <v>594.79700000000003</v>
      </c>
      <c r="F40" s="14">
        <v>600.47500000000002</v>
      </c>
      <c r="G40" s="14"/>
      <c r="H40" s="14"/>
      <c r="I40" s="14">
        <v>677.19299999999998</v>
      </c>
      <c r="J40" s="14">
        <v>582.95500000000004</v>
      </c>
      <c r="K40" s="14">
        <v>583.80500000000006</v>
      </c>
      <c r="L40" s="14">
        <v>612.11099999999999</v>
      </c>
      <c r="M40" s="14">
        <v>583.90600000000006</v>
      </c>
      <c r="N40" s="14"/>
      <c r="O40" s="14"/>
      <c r="P40" s="14">
        <v>615.20899999999995</v>
      </c>
      <c r="Q40" s="14">
        <v>590.07100000000003</v>
      </c>
      <c r="R40" s="14">
        <v>593.73299999999995</v>
      </c>
      <c r="S40" s="14">
        <v>593.202</v>
      </c>
      <c r="T40" s="14">
        <v>614.35399999999993</v>
      </c>
      <c r="U40" s="1"/>
      <c r="W40">
        <v>335.54</v>
      </c>
      <c r="X40">
        <v>357.31099999999998</v>
      </c>
      <c r="Y40">
        <v>778.58699999999999</v>
      </c>
      <c r="Z40">
        <v>1026.8599999999999</v>
      </c>
      <c r="AA40">
        <v>766.93700000000001</v>
      </c>
      <c r="AD40">
        <v>342.95299999999997</v>
      </c>
      <c r="AE40">
        <v>335.77199999999999</v>
      </c>
      <c r="AF40">
        <v>757.45799999999997</v>
      </c>
      <c r="AG40">
        <v>758.04499999999996</v>
      </c>
      <c r="AH40">
        <v>746.02200000000005</v>
      </c>
      <c r="AK40">
        <v>345.82100000000003</v>
      </c>
      <c r="AL40">
        <v>330.37299999999999</v>
      </c>
      <c r="AM40">
        <v>726.779</v>
      </c>
      <c r="AN40">
        <v>799.64800000000002</v>
      </c>
      <c r="AO40">
        <v>739.89700000000005</v>
      </c>
    </row>
    <row r="41" spans="1:41" hidden="1">
      <c r="A41">
        <v>39</v>
      </c>
      <c r="B41" s="14">
        <v>589.83600000000001</v>
      </c>
      <c r="C41" s="14">
        <v>613.03600000000006</v>
      </c>
      <c r="D41" s="14">
        <v>595.46399999999994</v>
      </c>
      <c r="E41" s="14">
        <v>598.553</v>
      </c>
      <c r="F41" s="14">
        <v>593.93200000000002</v>
      </c>
      <c r="G41" s="14"/>
      <c r="H41" s="14"/>
      <c r="I41" s="14">
        <v>582.12699999999995</v>
      </c>
      <c r="J41" s="14">
        <v>581.72</v>
      </c>
      <c r="K41" s="14">
        <v>606.13900000000001</v>
      </c>
      <c r="L41" s="14">
        <v>582.41800000000001</v>
      </c>
      <c r="M41" s="14">
        <v>581.41899999999998</v>
      </c>
      <c r="N41" s="14"/>
      <c r="O41" s="14"/>
      <c r="P41" s="14">
        <v>591.02099999999996</v>
      </c>
      <c r="Q41" s="14">
        <v>590.67000000000007</v>
      </c>
      <c r="R41" s="14">
        <v>594.32899999999995</v>
      </c>
      <c r="S41" s="14">
        <v>616.13400000000001</v>
      </c>
      <c r="T41" s="14">
        <v>587.47300000000007</v>
      </c>
      <c r="U41" s="1"/>
      <c r="W41">
        <v>366.76499999999999</v>
      </c>
      <c r="X41">
        <v>339.90899999999999</v>
      </c>
      <c r="Y41">
        <v>712.41499999999996</v>
      </c>
      <c r="Z41">
        <v>1218.31</v>
      </c>
      <c r="AA41">
        <v>775.68299999999999</v>
      </c>
      <c r="AD41">
        <v>345.62400000000002</v>
      </c>
      <c r="AE41">
        <v>343.55200000000002</v>
      </c>
      <c r="AF41">
        <v>751.94200000000001</v>
      </c>
      <c r="AG41">
        <v>809.51800000000003</v>
      </c>
      <c r="AH41">
        <v>726.81899999999996</v>
      </c>
      <c r="AK41">
        <v>350.12599999999998</v>
      </c>
      <c r="AL41">
        <v>342.82299999999998</v>
      </c>
      <c r="AM41">
        <v>766.75300000000004</v>
      </c>
      <c r="AN41">
        <v>758.35500000000002</v>
      </c>
      <c r="AO41">
        <v>781.67499999999995</v>
      </c>
    </row>
    <row r="42" spans="1:41" hidden="1">
      <c r="A42">
        <v>40</v>
      </c>
      <c r="B42" s="14">
        <v>604.83500000000004</v>
      </c>
      <c r="C42" s="14">
        <v>613.08199999999999</v>
      </c>
      <c r="D42" s="14">
        <v>591.85799999999995</v>
      </c>
      <c r="E42" s="14">
        <v>595.54600000000005</v>
      </c>
      <c r="F42" s="14">
        <v>593.26900000000001</v>
      </c>
      <c r="G42" s="14"/>
      <c r="H42" s="14"/>
      <c r="I42" s="14">
        <v>583.31700000000001</v>
      </c>
      <c r="J42" s="14">
        <v>607.21400000000006</v>
      </c>
      <c r="K42" s="14">
        <v>581.65100000000007</v>
      </c>
      <c r="L42" s="14">
        <v>581.77800000000002</v>
      </c>
      <c r="M42" s="14">
        <v>581.66300000000001</v>
      </c>
      <c r="N42" s="14"/>
      <c r="O42" s="14"/>
      <c r="P42" s="14">
        <v>590.00699999999995</v>
      </c>
      <c r="Q42" s="14">
        <v>593.21900000000005</v>
      </c>
      <c r="R42" s="14">
        <v>619.12699999999995</v>
      </c>
      <c r="S42" s="14">
        <v>594.60900000000004</v>
      </c>
      <c r="T42" s="14">
        <v>587.83100000000002</v>
      </c>
      <c r="U42" s="1"/>
      <c r="W42">
        <v>326.36799999999999</v>
      </c>
      <c r="X42">
        <v>368.327</v>
      </c>
      <c r="Y42">
        <v>755.92499999999995</v>
      </c>
      <c r="Z42">
        <v>1028.31</v>
      </c>
      <c r="AA42">
        <v>873.55899999999997</v>
      </c>
      <c r="AD42">
        <v>332.87700000000001</v>
      </c>
      <c r="AE42">
        <v>378.78699999999998</v>
      </c>
      <c r="AF42">
        <v>736.66399999999999</v>
      </c>
      <c r="AG42">
        <v>847.68299999999999</v>
      </c>
      <c r="AH42">
        <v>821.18899999999996</v>
      </c>
      <c r="AK42">
        <v>380.22800000000001</v>
      </c>
      <c r="AL42">
        <v>388.46499999999997</v>
      </c>
      <c r="AM42">
        <v>774.88599999999997</v>
      </c>
      <c r="AN42">
        <v>755.76499999999999</v>
      </c>
      <c r="AO42">
        <v>729.471</v>
      </c>
    </row>
    <row r="43" spans="1:41" hidden="1">
      <c r="A43">
        <v>41</v>
      </c>
      <c r="B43" s="14">
        <v>635.87800000000004</v>
      </c>
      <c r="C43" s="14">
        <v>592.73400000000004</v>
      </c>
      <c r="D43" s="14">
        <v>607.64700000000005</v>
      </c>
      <c r="E43" s="14">
        <v>694.26800000000003</v>
      </c>
      <c r="F43" s="14">
        <v>609.57600000000002</v>
      </c>
      <c r="G43" s="14"/>
      <c r="H43" s="14"/>
      <c r="I43" s="14">
        <v>609.73099999999999</v>
      </c>
      <c r="J43" s="14">
        <v>584.29300000000001</v>
      </c>
      <c r="K43" s="14">
        <v>584.12299999999993</v>
      </c>
      <c r="L43" s="14">
        <v>581.399</v>
      </c>
      <c r="M43" s="14">
        <v>581.77500000000009</v>
      </c>
      <c r="N43" s="14"/>
      <c r="O43" s="14"/>
      <c r="P43" s="14">
        <v>589.43799999999999</v>
      </c>
      <c r="Q43" s="14">
        <v>590.08299999999997</v>
      </c>
      <c r="R43" s="14">
        <v>620.28399999999999</v>
      </c>
      <c r="S43" s="14">
        <v>593.3850000000001</v>
      </c>
      <c r="T43" s="14">
        <v>589.99299999999994</v>
      </c>
      <c r="U43" s="1"/>
      <c r="W43">
        <v>356.32299999999998</v>
      </c>
      <c r="X43">
        <v>426.00700000000001</v>
      </c>
      <c r="Y43">
        <v>776.93</v>
      </c>
      <c r="Z43">
        <v>1058.68</v>
      </c>
      <c r="AA43">
        <v>848.74300000000005</v>
      </c>
      <c r="AD43">
        <v>411.68700000000001</v>
      </c>
      <c r="AE43">
        <v>368.69099999999997</v>
      </c>
      <c r="AF43">
        <v>786.69600000000003</v>
      </c>
      <c r="AG43">
        <v>818.69100000000003</v>
      </c>
      <c r="AH43">
        <v>865.12400000000002</v>
      </c>
      <c r="AK43">
        <v>349.95699999999999</v>
      </c>
      <c r="AL43">
        <v>375.428</v>
      </c>
      <c r="AM43">
        <v>728.21199999999999</v>
      </c>
      <c r="AN43">
        <v>761.29100000000005</v>
      </c>
      <c r="AO43">
        <v>709.05700000000002</v>
      </c>
    </row>
    <row r="44" spans="1:41" hidden="1">
      <c r="A44">
        <v>42</v>
      </c>
      <c r="B44" s="14">
        <v>635.18100000000004</v>
      </c>
      <c r="C44" s="14">
        <v>614.44799999999998</v>
      </c>
      <c r="D44" s="14">
        <v>593.16700000000003</v>
      </c>
      <c r="E44" s="14">
        <v>643.84100000000001</v>
      </c>
      <c r="F44" s="14">
        <v>599.98900000000003</v>
      </c>
      <c r="G44" s="14"/>
      <c r="H44" s="14"/>
      <c r="I44" s="14">
        <v>586.25400000000002</v>
      </c>
      <c r="J44" s="14">
        <v>584.04500000000007</v>
      </c>
      <c r="K44" s="14">
        <v>582.62100000000009</v>
      </c>
      <c r="L44" s="14">
        <v>582.67199999999991</v>
      </c>
      <c r="M44" s="14">
        <v>603.17899999999997</v>
      </c>
      <c r="N44" s="14"/>
      <c r="O44" s="14"/>
      <c r="P44" s="14">
        <v>592.67100000000005</v>
      </c>
      <c r="Q44" s="14">
        <v>613.43899999999996</v>
      </c>
      <c r="R44" s="14">
        <v>593.36</v>
      </c>
      <c r="S44" s="14">
        <v>594.80399999999997</v>
      </c>
      <c r="T44" s="14">
        <v>589.44100000000003</v>
      </c>
      <c r="U44" s="1"/>
      <c r="W44">
        <v>372.52300000000002</v>
      </c>
      <c r="X44">
        <v>408.00200000000001</v>
      </c>
      <c r="Y44">
        <v>929.13599999999997</v>
      </c>
      <c r="Z44">
        <v>1057.7</v>
      </c>
      <c r="AA44">
        <v>845.92399999999998</v>
      </c>
      <c r="AD44">
        <v>406.51</v>
      </c>
      <c r="AE44">
        <v>377.35700000000003</v>
      </c>
      <c r="AF44">
        <v>788.976</v>
      </c>
      <c r="AG44">
        <v>836.46500000000003</v>
      </c>
      <c r="AH44">
        <v>774.69899999999996</v>
      </c>
      <c r="AK44">
        <v>331.49400000000003</v>
      </c>
      <c r="AL44">
        <v>328.68</v>
      </c>
      <c r="AM44">
        <v>696.98</v>
      </c>
      <c r="AN44">
        <v>762.30399999999997</v>
      </c>
      <c r="AO44">
        <v>712.57899999999995</v>
      </c>
    </row>
    <row r="45" spans="1:41" hidden="1">
      <c r="A45">
        <v>43</v>
      </c>
      <c r="B45" s="14">
        <v>590.92499999999995</v>
      </c>
      <c r="C45" s="14">
        <v>594.75400000000002</v>
      </c>
      <c r="D45" s="14">
        <v>623.50799999999992</v>
      </c>
      <c r="E45" s="14">
        <v>599.73699999999997</v>
      </c>
      <c r="F45" s="14">
        <v>613.78600000000006</v>
      </c>
      <c r="G45" s="14"/>
      <c r="H45" s="14"/>
      <c r="I45" s="14">
        <v>581.79899999999998</v>
      </c>
      <c r="J45" s="14">
        <v>582.54399999999998</v>
      </c>
      <c r="K45" s="14">
        <v>581.58500000000004</v>
      </c>
      <c r="L45" s="14">
        <v>607.71600000000001</v>
      </c>
      <c r="M45" s="14">
        <v>582.15200000000004</v>
      </c>
      <c r="N45" s="14"/>
      <c r="O45" s="14"/>
      <c r="P45" s="14">
        <v>610.71400000000006</v>
      </c>
      <c r="Q45" s="14">
        <v>591.94200000000001</v>
      </c>
      <c r="R45" s="14">
        <v>593.98399999999992</v>
      </c>
      <c r="S45" s="14">
        <v>594.18499999999995</v>
      </c>
      <c r="T45" s="14">
        <v>609.56299999999999</v>
      </c>
      <c r="W45">
        <v>356.01</v>
      </c>
      <c r="X45">
        <v>410.06700000000001</v>
      </c>
      <c r="Y45">
        <v>816.30100000000004</v>
      </c>
      <c r="Z45">
        <v>1012.41</v>
      </c>
      <c r="AA45">
        <v>778.678</v>
      </c>
      <c r="AD45">
        <v>329.863</v>
      </c>
      <c r="AE45">
        <v>334.95100000000002</v>
      </c>
      <c r="AF45">
        <v>718.726</v>
      </c>
      <c r="AG45">
        <v>759.47400000000005</v>
      </c>
      <c r="AH45">
        <v>758.65800000000002</v>
      </c>
      <c r="AK45">
        <v>333.04399999999998</v>
      </c>
      <c r="AL45">
        <v>329.77600000000001</v>
      </c>
      <c r="AM45">
        <v>718.57899999999995</v>
      </c>
      <c r="AN45">
        <v>737.39200000000005</v>
      </c>
      <c r="AO45">
        <v>708.23599999999999</v>
      </c>
    </row>
    <row r="46" spans="1:41" hidden="1">
      <c r="A46">
        <v>44</v>
      </c>
      <c r="B46" s="14">
        <v>589.22</v>
      </c>
      <c r="C46" s="14">
        <v>625.71699999999998</v>
      </c>
      <c r="D46" s="14">
        <v>589.9140000000001</v>
      </c>
      <c r="E46" s="14">
        <v>595.20699999999999</v>
      </c>
      <c r="F46" s="14">
        <v>607.30499999999995</v>
      </c>
      <c r="G46" s="14"/>
      <c r="H46" s="14"/>
      <c r="I46" s="14">
        <v>583.95500000000004</v>
      </c>
      <c r="J46" s="14">
        <v>582.65500000000009</v>
      </c>
      <c r="K46" s="14">
        <v>601.678</v>
      </c>
      <c r="L46" s="14">
        <v>583.1579999999999</v>
      </c>
      <c r="M46" s="14">
        <v>582.53200000000004</v>
      </c>
      <c r="N46" s="14"/>
      <c r="O46" s="14"/>
      <c r="P46" s="14">
        <v>590.72</v>
      </c>
      <c r="Q46" s="14">
        <v>590.34799999999996</v>
      </c>
      <c r="R46" s="14">
        <v>593.322</v>
      </c>
      <c r="S46" s="14">
        <v>593.49700000000007</v>
      </c>
      <c r="T46" s="14">
        <v>617.11300000000006</v>
      </c>
      <c r="U46" s="1"/>
      <c r="W46">
        <v>332.74200000000002</v>
      </c>
      <c r="X46">
        <v>361.64100000000002</v>
      </c>
      <c r="Y46">
        <v>714.67399999999998</v>
      </c>
      <c r="Z46">
        <v>965.94600000000003</v>
      </c>
      <c r="AA46">
        <v>716.91700000000003</v>
      </c>
      <c r="AD46">
        <v>336.12799999999999</v>
      </c>
      <c r="AE46">
        <v>334.81099999999998</v>
      </c>
      <c r="AF46">
        <v>728.32299999999998</v>
      </c>
      <c r="AG46">
        <v>782.39300000000003</v>
      </c>
      <c r="AH46">
        <v>735.65499999999997</v>
      </c>
      <c r="AK46">
        <v>331.12900000000002</v>
      </c>
      <c r="AL46">
        <v>327.55500000000001</v>
      </c>
      <c r="AM46">
        <v>721.47900000000004</v>
      </c>
      <c r="AN46">
        <v>736.41099999999994</v>
      </c>
      <c r="AO46">
        <v>710.99599999999998</v>
      </c>
    </row>
    <row r="47" spans="1:41" hidden="1">
      <c r="A47">
        <v>45</v>
      </c>
      <c r="B47" s="14">
        <v>630.36800000000005</v>
      </c>
      <c r="C47" s="14">
        <v>597.91999999999996</v>
      </c>
      <c r="D47" s="14">
        <v>592.66600000000005</v>
      </c>
      <c r="E47" s="14">
        <v>587.12900000000002</v>
      </c>
      <c r="F47" s="14">
        <v>592.57499999999993</v>
      </c>
      <c r="G47" s="14"/>
      <c r="H47" s="14"/>
      <c r="I47" s="14">
        <v>583.14400000000001</v>
      </c>
      <c r="J47" s="14">
        <v>614.73699999999997</v>
      </c>
      <c r="K47" s="14">
        <v>581.81299999999999</v>
      </c>
      <c r="L47" s="14">
        <v>581.88499999999999</v>
      </c>
      <c r="M47" s="14">
        <v>581.32399999999996</v>
      </c>
      <c r="N47" s="14"/>
      <c r="O47" s="14"/>
      <c r="P47" s="14">
        <v>592.28300000000002</v>
      </c>
      <c r="Q47" s="14">
        <v>592.34900000000005</v>
      </c>
      <c r="R47" s="14">
        <v>593.36500000000001</v>
      </c>
      <c r="S47" s="14">
        <v>619.58600000000001</v>
      </c>
      <c r="T47" s="14">
        <v>587.93099999999993</v>
      </c>
      <c r="U47" s="1"/>
      <c r="W47">
        <v>318.40899999999999</v>
      </c>
      <c r="X47">
        <v>336.25599999999997</v>
      </c>
      <c r="Y47">
        <v>711.46100000000001</v>
      </c>
      <c r="Z47">
        <v>967.54100000000005</v>
      </c>
      <c r="AA47">
        <v>754.47900000000004</v>
      </c>
      <c r="AD47">
        <v>335.976</v>
      </c>
      <c r="AE47">
        <v>330.22500000000002</v>
      </c>
      <c r="AF47">
        <v>711.62400000000002</v>
      </c>
      <c r="AG47">
        <v>803.20799999999997</v>
      </c>
      <c r="AH47">
        <v>770.154</v>
      </c>
      <c r="AK47">
        <v>332.137</v>
      </c>
      <c r="AL47">
        <v>371.62</v>
      </c>
      <c r="AM47">
        <v>704.51800000000003</v>
      </c>
      <c r="AN47">
        <v>741.63199999999995</v>
      </c>
      <c r="AO47">
        <v>731.971</v>
      </c>
    </row>
    <row r="48" spans="1:41" hidden="1">
      <c r="A48">
        <v>46</v>
      </c>
      <c r="B48" s="14">
        <v>701.77</v>
      </c>
      <c r="C48" s="14">
        <v>586.572</v>
      </c>
      <c r="D48" s="14">
        <v>613.86900000000003</v>
      </c>
      <c r="E48" s="14">
        <v>593.43999999999994</v>
      </c>
      <c r="F48" s="14">
        <v>637.58199999999999</v>
      </c>
      <c r="G48" s="14"/>
      <c r="H48" s="14"/>
      <c r="I48" s="14">
        <v>582.55899999999997</v>
      </c>
      <c r="J48" s="14">
        <v>604.57099999999991</v>
      </c>
      <c r="K48" s="14">
        <v>586.01400000000001</v>
      </c>
      <c r="L48" s="14">
        <v>584.38599999999997</v>
      </c>
      <c r="M48" s="14">
        <v>583.20299999999997</v>
      </c>
      <c r="N48" s="14"/>
      <c r="O48" s="14"/>
      <c r="P48" s="14">
        <v>590.72500000000002</v>
      </c>
      <c r="Q48" s="14">
        <v>591.1110000000001</v>
      </c>
      <c r="R48" s="14">
        <v>695.22900000000004</v>
      </c>
      <c r="S48" s="14">
        <v>592.91200000000003</v>
      </c>
      <c r="T48" s="14">
        <v>588.54600000000005</v>
      </c>
      <c r="U48" s="1"/>
      <c r="W48">
        <v>329.63299999999998</v>
      </c>
      <c r="X48">
        <v>360.214</v>
      </c>
      <c r="Y48">
        <v>781.39400000000001</v>
      </c>
      <c r="Z48">
        <v>991.66700000000003</v>
      </c>
      <c r="AA48">
        <v>768.86199999999997</v>
      </c>
      <c r="AD48">
        <v>397.26</v>
      </c>
      <c r="AE48">
        <v>361.83699999999999</v>
      </c>
      <c r="AF48">
        <v>783.12400000000002</v>
      </c>
      <c r="AG48">
        <v>881.94799999999998</v>
      </c>
      <c r="AH48">
        <v>778.82799999999997</v>
      </c>
      <c r="AK48">
        <v>370.97800000000001</v>
      </c>
      <c r="AL48">
        <v>343.90100000000001</v>
      </c>
      <c r="AM48">
        <v>699.10400000000004</v>
      </c>
      <c r="AN48">
        <v>737.69200000000001</v>
      </c>
      <c r="AO48">
        <v>793.59699999999998</v>
      </c>
    </row>
    <row r="49" spans="1:41" hidden="1">
      <c r="A49">
        <v>47</v>
      </c>
      <c r="B49" s="14">
        <v>594.01800000000003</v>
      </c>
      <c r="C49" s="14">
        <v>592.404</v>
      </c>
      <c r="D49" s="14">
        <v>619.36299999999994</v>
      </c>
      <c r="E49" s="14">
        <v>617.17900000000009</v>
      </c>
      <c r="F49" s="14">
        <v>607.447</v>
      </c>
      <c r="G49" s="14"/>
      <c r="H49" s="14"/>
      <c r="I49" s="14">
        <v>608.79600000000005</v>
      </c>
      <c r="J49" s="14">
        <v>583.97400000000005</v>
      </c>
      <c r="K49" s="14">
        <v>582.16</v>
      </c>
      <c r="L49" s="14">
        <v>585.82100000000003</v>
      </c>
      <c r="M49" s="14">
        <v>598.22799999999995</v>
      </c>
      <c r="N49" s="14"/>
      <c r="O49" s="14"/>
      <c r="P49" s="14">
        <v>588.95899999999995</v>
      </c>
      <c r="Q49" s="14">
        <v>615.26</v>
      </c>
      <c r="R49" s="14">
        <v>593.70900000000006</v>
      </c>
      <c r="S49" s="14">
        <v>593.27800000000002</v>
      </c>
      <c r="T49" s="14">
        <v>587.69099999999992</v>
      </c>
      <c r="U49" s="1"/>
      <c r="W49">
        <v>342.23500000000001</v>
      </c>
      <c r="X49">
        <v>403.38</v>
      </c>
      <c r="Y49">
        <v>779.32399999999996</v>
      </c>
      <c r="Z49">
        <v>1055.78</v>
      </c>
      <c r="AA49">
        <v>753.476</v>
      </c>
      <c r="AD49">
        <v>405.14299999999997</v>
      </c>
      <c r="AE49">
        <v>366.31900000000002</v>
      </c>
      <c r="AF49">
        <v>799.10199999999998</v>
      </c>
      <c r="AG49">
        <v>867.13599999999997</v>
      </c>
      <c r="AH49">
        <v>784.33299999999997</v>
      </c>
      <c r="AK49">
        <v>333.81799999999998</v>
      </c>
      <c r="AL49">
        <v>327.57</v>
      </c>
      <c r="AM49">
        <v>697.15200000000004</v>
      </c>
      <c r="AN49">
        <v>806.27300000000002</v>
      </c>
      <c r="AO49">
        <v>718.43899999999996</v>
      </c>
    </row>
    <row r="50" spans="1:41" hidden="1">
      <c r="A50">
        <v>48</v>
      </c>
      <c r="B50" s="14">
        <v>587.34400000000005</v>
      </c>
      <c r="C50" s="14">
        <v>586.15099999999995</v>
      </c>
      <c r="D50" s="14">
        <v>630.40300000000002</v>
      </c>
      <c r="E50" s="14">
        <v>648.89</v>
      </c>
      <c r="F50" s="14">
        <v>663.34800000000007</v>
      </c>
      <c r="G50" s="14"/>
      <c r="H50" s="14"/>
      <c r="I50" s="14">
        <v>580.74599999999998</v>
      </c>
      <c r="J50" s="14">
        <v>583.19799999999998</v>
      </c>
      <c r="K50" s="14">
        <v>616.58800000000008</v>
      </c>
      <c r="L50" s="14">
        <v>599.14599999999996</v>
      </c>
      <c r="M50" s="14">
        <v>584.60400000000004</v>
      </c>
      <c r="N50" s="14"/>
      <c r="O50" s="14"/>
      <c r="P50" s="14">
        <v>620.52599999999995</v>
      </c>
      <c r="Q50" s="14">
        <v>592.13599999999997</v>
      </c>
      <c r="R50" s="14">
        <v>593.55700000000002</v>
      </c>
      <c r="S50" s="14">
        <v>595.43500000000006</v>
      </c>
      <c r="T50" s="14">
        <v>615.30600000000004</v>
      </c>
      <c r="W50">
        <v>362.61799999999999</v>
      </c>
      <c r="X50">
        <v>364.19499999999999</v>
      </c>
      <c r="Y50">
        <v>784.88800000000003</v>
      </c>
      <c r="Z50">
        <v>1110.5999999999999</v>
      </c>
      <c r="AA50">
        <v>848.81</v>
      </c>
      <c r="AD50">
        <v>359.423</v>
      </c>
      <c r="AE50">
        <v>348.60599999999999</v>
      </c>
      <c r="AF50">
        <v>716.00599999999997</v>
      </c>
      <c r="AG50">
        <v>786.79499999999996</v>
      </c>
      <c r="AH50">
        <v>745.66899999999998</v>
      </c>
      <c r="AK50">
        <v>331.70299999999997</v>
      </c>
      <c r="AL50">
        <v>327.30900000000003</v>
      </c>
      <c r="AM50">
        <v>700.68399999999997</v>
      </c>
      <c r="AN50">
        <v>870.21</v>
      </c>
      <c r="AO50">
        <v>960.54</v>
      </c>
    </row>
    <row r="51" spans="1:41" hidden="1">
      <c r="A51">
        <v>49</v>
      </c>
      <c r="B51" s="14">
        <v>639.20699999999999</v>
      </c>
      <c r="C51" s="14">
        <v>614.3420000000001</v>
      </c>
      <c r="D51" s="14">
        <v>593.96</v>
      </c>
      <c r="E51" s="14">
        <v>603.35300000000007</v>
      </c>
      <c r="F51" s="14">
        <v>607.90699999999993</v>
      </c>
      <c r="G51" s="14"/>
      <c r="H51" s="14"/>
      <c r="I51" s="14">
        <v>583.34699999999998</v>
      </c>
      <c r="J51" s="14">
        <v>584.59100000000001</v>
      </c>
      <c r="K51" s="14">
        <v>584.32600000000002</v>
      </c>
      <c r="L51" s="14">
        <v>606.40499999999997</v>
      </c>
      <c r="M51" s="14">
        <v>583.19500000000005</v>
      </c>
      <c r="N51" s="14"/>
      <c r="O51" s="14"/>
      <c r="P51" s="14">
        <v>592.13</v>
      </c>
      <c r="Q51" s="14">
        <v>589.28300000000002</v>
      </c>
      <c r="R51" s="14">
        <v>593.06700000000001</v>
      </c>
      <c r="S51" s="14">
        <v>628.86200000000008</v>
      </c>
      <c r="T51" s="14">
        <v>588.82900000000006</v>
      </c>
      <c r="W51">
        <v>337.238</v>
      </c>
      <c r="X51">
        <v>360.88499999999999</v>
      </c>
      <c r="Y51">
        <v>739.30899999999997</v>
      </c>
      <c r="Z51">
        <v>995.86400000000003</v>
      </c>
      <c r="AA51">
        <v>781.81799999999998</v>
      </c>
      <c r="AD51">
        <v>337.03199999999998</v>
      </c>
      <c r="AE51">
        <v>334.50400000000002</v>
      </c>
      <c r="AF51">
        <v>761.55100000000004</v>
      </c>
      <c r="AG51">
        <v>803.91800000000001</v>
      </c>
      <c r="AH51">
        <v>721.30100000000004</v>
      </c>
      <c r="AK51">
        <v>395.48099999999999</v>
      </c>
      <c r="AL51">
        <v>384.78300000000002</v>
      </c>
      <c r="AM51">
        <v>818.99199999999996</v>
      </c>
      <c r="AN51">
        <v>922.62099999999998</v>
      </c>
      <c r="AO51">
        <v>890.09100000000001</v>
      </c>
    </row>
    <row r="52" spans="1:41" hidden="1">
      <c r="A52">
        <v>50</v>
      </c>
      <c r="B52" s="14">
        <v>624.17100000000005</v>
      </c>
      <c r="C52" s="14">
        <v>598.52200000000005</v>
      </c>
      <c r="D52" s="14">
        <v>591.54600000000005</v>
      </c>
      <c r="E52" s="14">
        <v>599.81799999999998</v>
      </c>
      <c r="F52" s="14">
        <v>597.00099999999998</v>
      </c>
      <c r="G52" s="14"/>
      <c r="H52" s="14"/>
      <c r="I52" s="14">
        <v>582.23199999999997</v>
      </c>
      <c r="J52" s="14">
        <v>584.27700000000004</v>
      </c>
      <c r="K52" s="14">
        <v>607.55400000000009</v>
      </c>
      <c r="L52" s="14">
        <v>585.79300000000001</v>
      </c>
      <c r="M52" s="14">
        <v>581.71799999999996</v>
      </c>
      <c r="N52" s="14"/>
      <c r="O52" s="14"/>
      <c r="P52" s="14">
        <v>590.55499999999995</v>
      </c>
      <c r="Q52" s="14">
        <v>590.70999999999992</v>
      </c>
      <c r="R52" s="14">
        <v>618.928</v>
      </c>
      <c r="S52" s="14">
        <v>593.51400000000001</v>
      </c>
      <c r="T52" s="14">
        <v>590.61300000000006</v>
      </c>
      <c r="U52" s="1"/>
      <c r="W52">
        <v>371.78800000000001</v>
      </c>
      <c r="X52">
        <v>418.14800000000002</v>
      </c>
      <c r="Y52">
        <v>831.86099999999999</v>
      </c>
      <c r="Z52">
        <v>1137.25</v>
      </c>
      <c r="AA52">
        <v>761.53200000000004</v>
      </c>
      <c r="AD52">
        <v>334.31200000000001</v>
      </c>
      <c r="AE52">
        <v>338.399</v>
      </c>
      <c r="AF52">
        <v>759.92</v>
      </c>
      <c r="AG52">
        <v>760.22500000000002</v>
      </c>
      <c r="AH52">
        <v>735.28599999999994</v>
      </c>
      <c r="AK52">
        <v>416.63900000000001</v>
      </c>
      <c r="AL52">
        <v>375.51299999999998</v>
      </c>
      <c r="AM52">
        <v>833.88400000000001</v>
      </c>
      <c r="AN52">
        <v>862.22</v>
      </c>
      <c r="AO52">
        <v>749.22</v>
      </c>
    </row>
    <row r="53" spans="1:41" hidden="1">
      <c r="A53">
        <v>51</v>
      </c>
      <c r="B53" s="14">
        <v>619.14800000000002</v>
      </c>
      <c r="C53" s="14">
        <v>591.57600000000002</v>
      </c>
      <c r="D53" s="14">
        <v>605.41199999999992</v>
      </c>
      <c r="E53" s="14">
        <v>593.51600000000008</v>
      </c>
      <c r="F53" s="14">
        <v>625.38400000000001</v>
      </c>
      <c r="G53" s="14"/>
      <c r="H53" s="14"/>
      <c r="I53" s="14">
        <v>583.572</v>
      </c>
      <c r="J53" s="14">
        <v>612.51400000000001</v>
      </c>
      <c r="K53" s="14">
        <v>584.32600000000002</v>
      </c>
      <c r="L53" s="14">
        <v>584.18600000000004</v>
      </c>
      <c r="M53" s="14">
        <v>581.99599999999998</v>
      </c>
      <c r="N53" s="14"/>
      <c r="O53" s="14"/>
      <c r="P53" s="14">
        <v>590.53300000000002</v>
      </c>
      <c r="Q53" s="14">
        <v>589.21800000000007</v>
      </c>
      <c r="R53" s="14">
        <v>621.375</v>
      </c>
      <c r="S53" s="14">
        <v>594.62400000000002</v>
      </c>
      <c r="T53" s="14">
        <v>589.32300000000009</v>
      </c>
      <c r="W53">
        <v>382.55399999999997</v>
      </c>
      <c r="X53">
        <v>396.584</v>
      </c>
      <c r="Y53">
        <v>829.13099999999997</v>
      </c>
      <c r="Z53">
        <v>1102.97</v>
      </c>
      <c r="AA53">
        <v>747.10799999999995</v>
      </c>
      <c r="AD53">
        <v>339.822</v>
      </c>
      <c r="AE53">
        <v>354.13400000000001</v>
      </c>
      <c r="AF53">
        <v>689.404</v>
      </c>
      <c r="AG53">
        <v>731.346</v>
      </c>
      <c r="AH53">
        <v>709.91499999999996</v>
      </c>
      <c r="AK53">
        <v>343.661</v>
      </c>
      <c r="AL53">
        <v>379.26400000000001</v>
      </c>
      <c r="AM53">
        <v>730.29499999999996</v>
      </c>
      <c r="AN53">
        <v>786.30899999999997</v>
      </c>
      <c r="AO53">
        <v>772.12300000000005</v>
      </c>
    </row>
    <row r="54" spans="1:41" hidden="1">
      <c r="A54">
        <v>52</v>
      </c>
      <c r="B54" s="14">
        <v>587.096</v>
      </c>
      <c r="C54" s="14">
        <v>596.10700000000008</v>
      </c>
      <c r="D54" s="14">
        <v>591.12600000000009</v>
      </c>
      <c r="E54" s="14">
        <v>640.16</v>
      </c>
      <c r="F54" s="14">
        <v>587.28100000000006</v>
      </c>
      <c r="G54" s="14"/>
      <c r="H54" s="14"/>
      <c r="I54" s="14">
        <v>602.17200000000003</v>
      </c>
      <c r="J54" s="14">
        <v>583.59100000000001</v>
      </c>
      <c r="K54" s="14">
        <v>582.26800000000003</v>
      </c>
      <c r="L54" s="14">
        <v>582.50300000000004</v>
      </c>
      <c r="M54" s="14">
        <v>614.23199999999997</v>
      </c>
      <c r="N54" s="14"/>
      <c r="O54" s="14"/>
      <c r="P54" s="14">
        <v>590.94500000000005</v>
      </c>
      <c r="Q54" s="14">
        <v>610.38700000000006</v>
      </c>
      <c r="R54" s="14">
        <v>593.00799999999992</v>
      </c>
      <c r="S54" s="14">
        <v>591.55999999999995</v>
      </c>
      <c r="T54" s="14">
        <v>591.48500000000001</v>
      </c>
      <c r="U54" s="1"/>
      <c r="W54">
        <v>318.45400000000001</v>
      </c>
      <c r="X54">
        <v>359.41</v>
      </c>
      <c r="Y54">
        <v>721.47500000000002</v>
      </c>
      <c r="Z54">
        <v>952.35199999999998</v>
      </c>
      <c r="AA54">
        <v>827.39</v>
      </c>
      <c r="AD54">
        <v>378.00200000000001</v>
      </c>
      <c r="AE54">
        <v>347.92700000000002</v>
      </c>
      <c r="AF54">
        <v>719.64200000000005</v>
      </c>
      <c r="AG54">
        <v>848.65099999999995</v>
      </c>
      <c r="AH54">
        <v>795.70500000000004</v>
      </c>
      <c r="AK54">
        <v>394.327</v>
      </c>
      <c r="AL54">
        <v>346.10300000000001</v>
      </c>
      <c r="AM54">
        <v>733.80799999999999</v>
      </c>
      <c r="AN54">
        <v>765.55100000000004</v>
      </c>
      <c r="AO54">
        <v>784.18700000000001</v>
      </c>
    </row>
    <row r="55" spans="1:41" hidden="1">
      <c r="A55">
        <v>53</v>
      </c>
      <c r="B55" s="14">
        <v>585.26900000000001</v>
      </c>
      <c r="C55" s="14">
        <v>584.32899999999995</v>
      </c>
      <c r="D55" s="14">
        <v>667.34899999999993</v>
      </c>
      <c r="E55" s="14">
        <v>612.87199999999996</v>
      </c>
      <c r="F55" s="14">
        <v>587.85500000000002</v>
      </c>
      <c r="G55" s="14"/>
      <c r="H55" s="14"/>
      <c r="I55" s="14">
        <v>584.18499999999995</v>
      </c>
      <c r="J55" s="14">
        <v>581.57499999999993</v>
      </c>
      <c r="K55" s="14">
        <v>582.03499999999997</v>
      </c>
      <c r="L55" s="14">
        <v>584.42400000000009</v>
      </c>
      <c r="M55" s="14">
        <v>611.24099999999999</v>
      </c>
      <c r="N55" s="14"/>
      <c r="O55" s="14"/>
      <c r="P55" s="14">
        <v>640.77599999999995</v>
      </c>
      <c r="Q55" s="14">
        <v>594.18400000000008</v>
      </c>
      <c r="R55" s="14">
        <v>607.9369999999999</v>
      </c>
      <c r="S55" s="14">
        <v>599.39600000000007</v>
      </c>
      <c r="T55" s="14">
        <v>614.61299999999994</v>
      </c>
      <c r="U55" s="1"/>
      <c r="W55">
        <v>347.97699999999998</v>
      </c>
      <c r="X55">
        <v>365.45499999999998</v>
      </c>
      <c r="Y55">
        <v>908.47500000000002</v>
      </c>
      <c r="Z55">
        <v>990.64800000000002</v>
      </c>
      <c r="AA55">
        <v>798.71799999999996</v>
      </c>
      <c r="AD55">
        <v>392.93700000000001</v>
      </c>
      <c r="AE55">
        <v>366.10199999999998</v>
      </c>
      <c r="AF55">
        <v>798.87199999999996</v>
      </c>
      <c r="AG55">
        <v>848.16300000000001</v>
      </c>
      <c r="AH55">
        <v>824.99900000000002</v>
      </c>
      <c r="AK55">
        <v>348.30599999999998</v>
      </c>
      <c r="AL55">
        <v>350.358</v>
      </c>
      <c r="AM55">
        <v>730.00300000000004</v>
      </c>
      <c r="AN55">
        <v>781.00300000000004</v>
      </c>
      <c r="AO55">
        <v>866.71699999999998</v>
      </c>
    </row>
    <row r="56" spans="1:41" hidden="1">
      <c r="A56">
        <v>54</v>
      </c>
      <c r="B56" s="14">
        <v>595.46</v>
      </c>
      <c r="C56" s="14">
        <v>603.553</v>
      </c>
      <c r="D56" s="14">
        <v>638.18799999999999</v>
      </c>
      <c r="E56" s="14">
        <v>596.09699999999998</v>
      </c>
      <c r="F56" s="14">
        <v>590.82100000000003</v>
      </c>
      <c r="G56" s="14"/>
      <c r="H56" s="14"/>
      <c r="I56" s="14">
        <v>582.46900000000005</v>
      </c>
      <c r="J56" s="14">
        <v>582.721</v>
      </c>
      <c r="K56" s="14">
        <v>583.40800000000002</v>
      </c>
      <c r="L56" s="14">
        <v>610.63300000000004</v>
      </c>
      <c r="M56" s="14">
        <v>582.72</v>
      </c>
      <c r="N56" s="14"/>
      <c r="O56" s="14"/>
      <c r="P56" s="14">
        <v>590.26300000000003</v>
      </c>
      <c r="Q56" s="14">
        <v>590.06200000000001</v>
      </c>
      <c r="R56" s="14">
        <v>594.19399999999996</v>
      </c>
      <c r="S56" s="14">
        <v>612.21600000000001</v>
      </c>
      <c r="T56" s="14">
        <v>632.48699999999997</v>
      </c>
      <c r="U56" s="1"/>
      <c r="W56">
        <v>332.16199999999998</v>
      </c>
      <c r="X56">
        <v>356.53300000000002</v>
      </c>
      <c r="Y56">
        <v>743.16600000000005</v>
      </c>
      <c r="Z56">
        <v>1018.97</v>
      </c>
      <c r="AA56">
        <v>746.17700000000002</v>
      </c>
      <c r="AD56">
        <v>378.17700000000002</v>
      </c>
      <c r="AE56">
        <v>369.81599999999997</v>
      </c>
      <c r="AF56">
        <v>728.202</v>
      </c>
      <c r="AG56">
        <v>791.56100000000004</v>
      </c>
      <c r="AH56">
        <v>717.63400000000001</v>
      </c>
      <c r="AK56">
        <v>448.41699999999997</v>
      </c>
      <c r="AL56">
        <v>413.60599999999999</v>
      </c>
      <c r="AM56">
        <v>755.41800000000001</v>
      </c>
      <c r="AN56">
        <v>791.42700000000002</v>
      </c>
      <c r="AO56">
        <v>797.17200000000003</v>
      </c>
    </row>
    <row r="57" spans="1:41" hidden="1">
      <c r="A57">
        <v>55</v>
      </c>
      <c r="B57" s="14">
        <v>588.70799999999997</v>
      </c>
      <c r="C57" s="14">
        <v>592.52599999999995</v>
      </c>
      <c r="D57" s="14">
        <v>628.34</v>
      </c>
      <c r="E57" s="14">
        <v>663.41800000000001</v>
      </c>
      <c r="F57" s="14">
        <v>595.76700000000005</v>
      </c>
      <c r="G57" s="14"/>
      <c r="H57" s="14"/>
      <c r="I57" s="14">
        <v>580.851</v>
      </c>
      <c r="J57" s="14">
        <v>584.90200000000004</v>
      </c>
      <c r="K57" s="14">
        <v>609.22799999999995</v>
      </c>
      <c r="L57" s="14">
        <v>594.43500000000006</v>
      </c>
      <c r="M57" s="14">
        <v>593.42099999999994</v>
      </c>
      <c r="N57" s="14"/>
      <c r="O57" s="14"/>
      <c r="P57" s="14">
        <v>591.00099999999998</v>
      </c>
      <c r="Q57" s="14">
        <v>590.91200000000003</v>
      </c>
      <c r="R57" s="14">
        <v>623.66399999999999</v>
      </c>
      <c r="S57" s="14">
        <v>602.46599999999989</v>
      </c>
      <c r="T57" s="14">
        <v>589.08199999999999</v>
      </c>
      <c r="U57" s="1"/>
      <c r="W57">
        <v>337.13499999999999</v>
      </c>
      <c r="X57">
        <v>357.22</v>
      </c>
      <c r="Y57">
        <v>778.09199999999998</v>
      </c>
      <c r="Z57">
        <v>974.86400000000003</v>
      </c>
      <c r="AA57">
        <v>759.32899999999995</v>
      </c>
      <c r="AD57">
        <v>333.90800000000002</v>
      </c>
      <c r="AE57">
        <v>342.92899999999997</v>
      </c>
      <c r="AF57">
        <v>713.07100000000003</v>
      </c>
      <c r="AG57">
        <v>783.37699999999995</v>
      </c>
      <c r="AH57">
        <v>768.45500000000004</v>
      </c>
      <c r="AK57">
        <v>392.435</v>
      </c>
      <c r="AL57">
        <v>394.06599999999997</v>
      </c>
      <c r="AM57">
        <v>823.60500000000002</v>
      </c>
      <c r="AN57">
        <v>889.89099999999996</v>
      </c>
      <c r="AO57">
        <v>851.53200000000004</v>
      </c>
    </row>
    <row r="58" spans="1:41" hidden="1">
      <c r="A58">
        <v>56</v>
      </c>
      <c r="B58" s="14">
        <v>648.03899999999999</v>
      </c>
      <c r="C58" s="14">
        <v>606.70699999999999</v>
      </c>
      <c r="D58" s="14">
        <v>620.92399999999998</v>
      </c>
      <c r="E58" s="14">
        <v>597.90299999999991</v>
      </c>
      <c r="F58" s="14">
        <v>591.048</v>
      </c>
      <c r="G58" s="14"/>
      <c r="H58" s="14"/>
      <c r="I58" s="14">
        <v>581.42100000000005</v>
      </c>
      <c r="J58" s="14">
        <v>592.33100000000002</v>
      </c>
      <c r="K58" s="14">
        <v>608.98500000000001</v>
      </c>
      <c r="L58" s="14">
        <v>582.65500000000009</v>
      </c>
      <c r="M58" s="14">
        <v>582.6</v>
      </c>
      <c r="N58" s="14"/>
      <c r="O58" s="14"/>
      <c r="P58" s="14">
        <v>592.41200000000003</v>
      </c>
      <c r="Q58" s="14">
        <v>682.73700000000008</v>
      </c>
      <c r="R58" s="14">
        <v>670.06799999999998</v>
      </c>
      <c r="S58" s="14">
        <v>597.13199999999995</v>
      </c>
      <c r="T58" s="14">
        <v>597.98900000000003</v>
      </c>
      <c r="U58" s="1"/>
      <c r="W58">
        <v>378.25299999999999</v>
      </c>
      <c r="X58">
        <v>445.13099999999997</v>
      </c>
      <c r="Y58">
        <v>816.41800000000001</v>
      </c>
      <c r="Z58">
        <v>1081.83</v>
      </c>
      <c r="AA58">
        <v>816.10900000000004</v>
      </c>
      <c r="AD58">
        <v>402.03500000000003</v>
      </c>
      <c r="AE58">
        <v>381.154</v>
      </c>
      <c r="AF58">
        <v>841.68100000000004</v>
      </c>
      <c r="AG58">
        <v>856.94299999999998</v>
      </c>
      <c r="AH58">
        <v>800.79100000000005</v>
      </c>
      <c r="AK58">
        <v>400.786</v>
      </c>
      <c r="AL58">
        <v>372.63200000000001</v>
      </c>
      <c r="AM58">
        <v>859.47699999999998</v>
      </c>
      <c r="AN58">
        <v>864.53899999999999</v>
      </c>
      <c r="AO58">
        <v>793.81500000000005</v>
      </c>
    </row>
    <row r="59" spans="1:41" hidden="1">
      <c r="A59">
        <v>57</v>
      </c>
      <c r="B59" s="14">
        <v>651.16999999999996</v>
      </c>
      <c r="C59" s="14">
        <v>603.28399999999999</v>
      </c>
      <c r="D59" s="14">
        <v>594.97400000000005</v>
      </c>
      <c r="E59" s="14">
        <v>593.06200000000001</v>
      </c>
      <c r="F59" s="14">
        <v>627.98599999999999</v>
      </c>
      <c r="G59" s="14"/>
      <c r="H59" s="14"/>
      <c r="I59" s="14">
        <v>584.553</v>
      </c>
      <c r="J59" s="14">
        <v>615.39800000000002</v>
      </c>
      <c r="K59" s="14">
        <v>583.0379999999999</v>
      </c>
      <c r="L59" s="14">
        <v>582.79099999999994</v>
      </c>
      <c r="M59" s="14">
        <v>580.86800000000005</v>
      </c>
      <c r="N59" s="14"/>
      <c r="O59" s="14"/>
      <c r="P59" s="14">
        <v>620.11400000000003</v>
      </c>
      <c r="Q59" s="14">
        <v>591.51600000000008</v>
      </c>
      <c r="R59" s="14">
        <v>606.57299999999998</v>
      </c>
      <c r="S59" s="14">
        <v>593.86199999999997</v>
      </c>
      <c r="T59" s="14">
        <v>614.1</v>
      </c>
      <c r="U59" s="1"/>
      <c r="W59">
        <v>328.32799999999997</v>
      </c>
      <c r="X59">
        <v>336.68599999999998</v>
      </c>
      <c r="Y59">
        <v>728.92100000000005</v>
      </c>
      <c r="Z59">
        <v>941.75300000000004</v>
      </c>
      <c r="AA59">
        <v>723.78899999999999</v>
      </c>
      <c r="AD59">
        <v>375.03899999999999</v>
      </c>
      <c r="AE59">
        <v>370.30599999999998</v>
      </c>
      <c r="AF59">
        <v>812.71799999999996</v>
      </c>
      <c r="AG59">
        <v>784.87300000000005</v>
      </c>
      <c r="AH59">
        <v>769.01800000000003</v>
      </c>
      <c r="AK59">
        <v>340.21</v>
      </c>
      <c r="AL59">
        <v>343.42700000000002</v>
      </c>
      <c r="AM59">
        <v>817.16800000000001</v>
      </c>
      <c r="AN59">
        <v>790.38499999999999</v>
      </c>
      <c r="AO59">
        <v>749.24199999999996</v>
      </c>
    </row>
    <row r="60" spans="1:41" hidden="1">
      <c r="A60">
        <v>58</v>
      </c>
      <c r="B60" s="14">
        <v>595.62599999999998</v>
      </c>
      <c r="C60" s="14">
        <v>600.99599999999998</v>
      </c>
      <c r="D60" s="14">
        <v>595.76400000000001</v>
      </c>
      <c r="E60" s="14">
        <v>598.36800000000005</v>
      </c>
      <c r="F60" s="14">
        <v>616.53800000000001</v>
      </c>
      <c r="G60" s="14"/>
      <c r="H60" s="14"/>
      <c r="I60" s="14">
        <v>602.005</v>
      </c>
      <c r="J60" s="14">
        <v>583.20699999999999</v>
      </c>
      <c r="K60" s="14">
        <v>581.29100000000005</v>
      </c>
      <c r="L60" s="14">
        <v>660.02099999999996</v>
      </c>
      <c r="M60" s="14">
        <v>607.41399999999999</v>
      </c>
      <c r="N60" s="14"/>
      <c r="O60" s="14"/>
      <c r="P60" s="14">
        <v>592.23</v>
      </c>
      <c r="Q60" s="14">
        <v>591.38</v>
      </c>
      <c r="R60" s="14">
        <v>593.5089999999999</v>
      </c>
      <c r="S60" s="14">
        <v>611.38199999999995</v>
      </c>
      <c r="T60" s="14">
        <v>592.51800000000003</v>
      </c>
      <c r="U60" s="1"/>
      <c r="W60">
        <v>378.05900000000003</v>
      </c>
      <c r="X60">
        <v>356.84399999999999</v>
      </c>
      <c r="Y60">
        <v>785.322</v>
      </c>
      <c r="Z60">
        <v>1104.02</v>
      </c>
      <c r="AA60">
        <v>784.17899999999997</v>
      </c>
      <c r="AD60">
        <v>336.44299999999998</v>
      </c>
      <c r="AE60">
        <v>337.69</v>
      </c>
      <c r="AF60">
        <v>718.37099999999998</v>
      </c>
      <c r="AG60">
        <v>763.66899999999998</v>
      </c>
      <c r="AH60">
        <v>751.22299999999996</v>
      </c>
      <c r="AK60">
        <v>346.75599999999997</v>
      </c>
      <c r="AL60">
        <v>340.70699999999999</v>
      </c>
      <c r="AM60">
        <v>759.51900000000001</v>
      </c>
      <c r="AN60">
        <v>774.14400000000001</v>
      </c>
      <c r="AO60">
        <v>731.41499999999996</v>
      </c>
    </row>
    <row r="61" spans="1:41" hidden="1">
      <c r="A61">
        <v>59</v>
      </c>
      <c r="B61" s="14">
        <v>600.61199999999997</v>
      </c>
      <c r="C61" s="14">
        <v>598.64099999999996</v>
      </c>
      <c r="D61" s="14">
        <v>592.89</v>
      </c>
      <c r="E61" s="14">
        <v>619.21199999999999</v>
      </c>
      <c r="F61" s="14">
        <v>599.85299999999995</v>
      </c>
      <c r="G61" s="14"/>
      <c r="H61" s="14"/>
      <c r="I61" s="14">
        <v>582.70100000000002</v>
      </c>
      <c r="J61" s="14">
        <v>585.39200000000005</v>
      </c>
      <c r="K61" s="14">
        <v>583.06000000000006</v>
      </c>
      <c r="L61" s="14">
        <v>610.79099999999994</v>
      </c>
      <c r="M61" s="14">
        <v>581.43700000000001</v>
      </c>
      <c r="N61" s="14"/>
      <c r="O61" s="14"/>
      <c r="P61" s="14">
        <v>603.61</v>
      </c>
      <c r="Q61" s="14">
        <v>593.77</v>
      </c>
      <c r="R61" s="14">
        <v>595.35400000000004</v>
      </c>
      <c r="S61" s="14">
        <v>625.84500000000003</v>
      </c>
      <c r="T61" s="14">
        <v>589.1880000000001</v>
      </c>
      <c r="U61" s="1"/>
      <c r="W61">
        <v>340.56799999999998</v>
      </c>
      <c r="X61">
        <v>355.92700000000002</v>
      </c>
      <c r="Y61">
        <v>749.64400000000001</v>
      </c>
      <c r="Z61">
        <v>980.33900000000006</v>
      </c>
      <c r="AA61">
        <v>846.77099999999996</v>
      </c>
      <c r="AD61">
        <v>331.05200000000002</v>
      </c>
      <c r="AE61">
        <v>347.76600000000002</v>
      </c>
      <c r="AF61">
        <v>718.44100000000003</v>
      </c>
      <c r="AG61">
        <v>805.36699999999996</v>
      </c>
      <c r="AH61">
        <v>720.05700000000002</v>
      </c>
      <c r="AK61">
        <v>353.59</v>
      </c>
      <c r="AL61">
        <v>372.82400000000001</v>
      </c>
      <c r="AM61">
        <v>698.06</v>
      </c>
      <c r="AN61">
        <v>743.40300000000002</v>
      </c>
      <c r="AO61">
        <v>740.05899999999997</v>
      </c>
    </row>
    <row r="62" spans="1:41" hidden="1">
      <c r="A62">
        <v>60</v>
      </c>
      <c r="B62" s="14">
        <v>596.601</v>
      </c>
      <c r="C62" s="14">
        <v>591.197</v>
      </c>
      <c r="D62" s="14">
        <v>623.9670000000001</v>
      </c>
      <c r="E62" s="14">
        <v>606.25599999999997</v>
      </c>
      <c r="F62" s="14">
        <v>599.63299999999992</v>
      </c>
      <c r="G62" s="14"/>
      <c r="H62" s="14"/>
      <c r="I62" s="14">
        <v>582.19200000000001</v>
      </c>
      <c r="J62" s="14">
        <v>584.96400000000006</v>
      </c>
      <c r="K62" s="14">
        <v>602.35899999999992</v>
      </c>
      <c r="L62" s="14">
        <v>584.05799999999999</v>
      </c>
      <c r="M62" s="14">
        <v>579.85699999999997</v>
      </c>
      <c r="N62" s="14"/>
      <c r="O62" s="14"/>
      <c r="P62" s="14">
        <v>589.22799999999995</v>
      </c>
      <c r="Q62" s="14">
        <v>589.327</v>
      </c>
      <c r="R62" s="14">
        <v>627.98400000000004</v>
      </c>
      <c r="S62" s="14">
        <v>593.47700000000009</v>
      </c>
      <c r="T62" s="14">
        <v>588.13400000000001</v>
      </c>
      <c r="U62" s="1"/>
      <c r="W62">
        <v>331.62599999999998</v>
      </c>
      <c r="X62">
        <v>362.59500000000003</v>
      </c>
      <c r="Y62">
        <v>749.72900000000004</v>
      </c>
      <c r="Z62">
        <v>1011.15</v>
      </c>
      <c r="AA62">
        <v>751.28800000000001</v>
      </c>
      <c r="AD62">
        <v>377.34399999999999</v>
      </c>
      <c r="AE62">
        <v>336.56400000000002</v>
      </c>
      <c r="AF62">
        <v>721.73699999999997</v>
      </c>
      <c r="AG62">
        <v>758.9</v>
      </c>
      <c r="AH62">
        <v>795.6</v>
      </c>
      <c r="AK62">
        <v>396.435</v>
      </c>
      <c r="AL62">
        <v>346.68400000000003</v>
      </c>
      <c r="AM62">
        <v>729.49300000000005</v>
      </c>
      <c r="AN62">
        <v>789.66700000000003</v>
      </c>
      <c r="AO62">
        <v>781.64700000000005</v>
      </c>
    </row>
    <row r="63" spans="1:41" hidden="1">
      <c r="A63">
        <v>61</v>
      </c>
      <c r="B63" s="14">
        <v>592.09799999999996</v>
      </c>
      <c r="C63" s="14">
        <v>620.68799999999999</v>
      </c>
      <c r="D63" s="14">
        <v>593.9910000000001</v>
      </c>
      <c r="E63" s="14">
        <v>599.59399999999994</v>
      </c>
      <c r="F63" s="14">
        <v>599.22799999999995</v>
      </c>
      <c r="G63" s="14"/>
      <c r="H63" s="14"/>
      <c r="I63" s="14">
        <v>582.29600000000005</v>
      </c>
      <c r="J63" s="14">
        <v>581.197</v>
      </c>
      <c r="K63" s="14">
        <v>612.64400000000001</v>
      </c>
      <c r="L63" s="14">
        <v>582.30799999999999</v>
      </c>
      <c r="M63" s="14">
        <v>579.69800000000009</v>
      </c>
      <c r="N63" s="14"/>
      <c r="O63" s="14"/>
      <c r="P63" s="14">
        <v>590.4</v>
      </c>
      <c r="Q63" s="14">
        <v>610.81799999999998</v>
      </c>
      <c r="R63" s="14">
        <v>593.22900000000004</v>
      </c>
      <c r="S63" s="14">
        <v>593.846</v>
      </c>
      <c r="T63" s="14">
        <v>590.77</v>
      </c>
      <c r="U63" s="1"/>
      <c r="W63">
        <v>331.19799999999998</v>
      </c>
      <c r="X63">
        <v>374.101</v>
      </c>
      <c r="Y63">
        <v>851.86900000000003</v>
      </c>
      <c r="Z63">
        <v>1068.18</v>
      </c>
      <c r="AA63">
        <v>723</v>
      </c>
      <c r="AD63">
        <v>366.56700000000001</v>
      </c>
      <c r="AE63">
        <v>411.596</v>
      </c>
      <c r="AF63">
        <v>783.35699999999997</v>
      </c>
      <c r="AG63">
        <v>867.85500000000002</v>
      </c>
      <c r="AH63">
        <v>890.87800000000004</v>
      </c>
      <c r="AK63">
        <v>371.29399999999998</v>
      </c>
      <c r="AL63">
        <v>385.33600000000001</v>
      </c>
      <c r="AM63">
        <v>848.58</v>
      </c>
      <c r="AN63">
        <v>823.36099999999999</v>
      </c>
      <c r="AO63">
        <v>829.14099999999996</v>
      </c>
    </row>
    <row r="64" spans="1:41" hidden="1">
      <c r="A64">
        <v>62</v>
      </c>
      <c r="B64" s="14">
        <v>627.57899999999995</v>
      </c>
      <c r="C64" s="14">
        <v>588.57499999999993</v>
      </c>
      <c r="D64" s="14">
        <v>592.20799999999997</v>
      </c>
      <c r="E64" s="14">
        <v>595.16300000000001</v>
      </c>
      <c r="F64" s="14">
        <v>600.07999999999993</v>
      </c>
      <c r="G64" s="14"/>
      <c r="H64" s="14"/>
      <c r="I64" s="14">
        <v>581.56299999999999</v>
      </c>
      <c r="J64" s="14">
        <v>609.20700000000011</v>
      </c>
      <c r="K64" s="14">
        <v>583.08800000000008</v>
      </c>
      <c r="L64" s="14">
        <v>585.39200000000005</v>
      </c>
      <c r="M64" s="14">
        <v>579.42099999999994</v>
      </c>
      <c r="N64" s="14"/>
      <c r="O64" s="14"/>
      <c r="P64" s="14">
        <v>591.04200000000003</v>
      </c>
      <c r="Q64" s="14">
        <v>615.27800000000002</v>
      </c>
      <c r="R64" s="14">
        <v>592.97400000000005</v>
      </c>
      <c r="S64" s="14">
        <v>593.09699999999998</v>
      </c>
      <c r="T64" s="14">
        <v>589.25599999999997</v>
      </c>
      <c r="U64" s="1"/>
      <c r="W64">
        <v>318.52199999999999</v>
      </c>
      <c r="X64">
        <v>336.827</v>
      </c>
      <c r="Y64">
        <v>739.15800000000002</v>
      </c>
      <c r="Z64">
        <v>946.49099999999999</v>
      </c>
      <c r="AA64">
        <v>795.79200000000003</v>
      </c>
      <c r="AD64">
        <v>385.47899999999998</v>
      </c>
      <c r="AE64">
        <v>356.11399999999998</v>
      </c>
      <c r="AF64">
        <v>809.27200000000005</v>
      </c>
      <c r="AG64">
        <v>860.29399999999998</v>
      </c>
      <c r="AH64">
        <v>807.90499999999997</v>
      </c>
      <c r="AK64">
        <v>404</v>
      </c>
      <c r="AL64">
        <v>377.96100000000001</v>
      </c>
      <c r="AM64">
        <v>811.57500000000005</v>
      </c>
      <c r="AN64">
        <v>797.33199999999999</v>
      </c>
      <c r="AO64">
        <v>809.18700000000001</v>
      </c>
    </row>
    <row r="65" spans="1:41" hidden="1">
      <c r="A65">
        <v>63</v>
      </c>
      <c r="B65" s="14">
        <v>610.96500000000003</v>
      </c>
      <c r="C65" s="14">
        <v>594.88099999999997</v>
      </c>
      <c r="D65" s="14">
        <v>593.09500000000003</v>
      </c>
      <c r="E65" s="14">
        <v>598.37200000000007</v>
      </c>
      <c r="F65" s="14">
        <v>650.80899999999997</v>
      </c>
      <c r="G65" s="14"/>
      <c r="H65" s="14"/>
      <c r="I65" s="14">
        <v>603.04999999999995</v>
      </c>
      <c r="J65" s="14">
        <v>583.64300000000003</v>
      </c>
      <c r="K65" s="14">
        <v>582.50599999999997</v>
      </c>
      <c r="L65" s="14">
        <v>583.428</v>
      </c>
      <c r="M65" s="14">
        <v>604.8130000000001</v>
      </c>
      <c r="N65" s="14"/>
      <c r="O65" s="14"/>
      <c r="P65" s="14">
        <v>618.73599999999999</v>
      </c>
      <c r="Q65" s="14">
        <v>589.5200000000001</v>
      </c>
      <c r="R65" s="14">
        <v>592.89599999999996</v>
      </c>
      <c r="S65" s="14">
        <v>594.76599999999996</v>
      </c>
      <c r="T65" s="14">
        <v>614.23900000000003</v>
      </c>
      <c r="U65" s="1"/>
      <c r="W65">
        <v>420.62299999999999</v>
      </c>
      <c r="X65">
        <v>413.93799999999999</v>
      </c>
      <c r="Y65">
        <v>802.74400000000003</v>
      </c>
      <c r="Z65">
        <v>1058.21</v>
      </c>
      <c r="AA65">
        <v>865.66899999999998</v>
      </c>
      <c r="AD65">
        <v>350.90199999999999</v>
      </c>
      <c r="AE65">
        <v>347.99299999999999</v>
      </c>
      <c r="AF65">
        <v>722.86400000000003</v>
      </c>
      <c r="AG65">
        <v>792.07799999999997</v>
      </c>
      <c r="AH65">
        <v>728.61500000000001</v>
      </c>
      <c r="AK65">
        <v>356.24200000000002</v>
      </c>
      <c r="AL65">
        <v>341.27499999999998</v>
      </c>
      <c r="AM65">
        <v>696.71</v>
      </c>
      <c r="AN65">
        <v>737.58</v>
      </c>
      <c r="AO65">
        <v>731.87900000000002</v>
      </c>
    </row>
    <row r="66" spans="1:41" hidden="1">
      <c r="A66">
        <v>64</v>
      </c>
      <c r="B66" s="14">
        <v>592.346</v>
      </c>
      <c r="C66" s="14">
        <v>602.56399999999996</v>
      </c>
      <c r="D66" s="14">
        <v>586.25400000000002</v>
      </c>
      <c r="E66" s="14">
        <v>632.37600000000009</v>
      </c>
      <c r="F66" s="14">
        <v>601.505</v>
      </c>
      <c r="G66" s="14"/>
      <c r="H66" s="14"/>
      <c r="I66" s="14">
        <v>584.45899999999995</v>
      </c>
      <c r="J66" s="14">
        <v>583.31200000000001</v>
      </c>
      <c r="K66" s="14">
        <v>582.54899999999998</v>
      </c>
      <c r="L66" s="14">
        <v>581.85699999999997</v>
      </c>
      <c r="M66" s="14">
        <v>609.61699999999996</v>
      </c>
      <c r="N66" s="14"/>
      <c r="O66" s="14"/>
      <c r="P66" s="14">
        <v>589.62699999999995</v>
      </c>
      <c r="Q66" s="14">
        <v>591.57899999999995</v>
      </c>
      <c r="R66" s="14">
        <v>595.72699999999998</v>
      </c>
      <c r="S66" s="14">
        <v>624.59799999999996</v>
      </c>
      <c r="T66" s="14">
        <v>588.971</v>
      </c>
      <c r="W66">
        <v>365.16399999999999</v>
      </c>
      <c r="X66">
        <v>379.096</v>
      </c>
      <c r="Y66">
        <v>738.78399999999999</v>
      </c>
      <c r="Z66">
        <v>998.13499999999999</v>
      </c>
      <c r="AA66">
        <v>742.505</v>
      </c>
      <c r="AD66">
        <v>340.90600000000001</v>
      </c>
      <c r="AE66">
        <v>346.42399999999998</v>
      </c>
      <c r="AF66">
        <v>719.49699999999996</v>
      </c>
      <c r="AG66">
        <v>792.58900000000006</v>
      </c>
      <c r="AH66">
        <v>727.45500000000004</v>
      </c>
      <c r="AK66">
        <v>331.85700000000003</v>
      </c>
      <c r="AL66">
        <v>329.77</v>
      </c>
      <c r="AM66">
        <v>695.77099999999996</v>
      </c>
      <c r="AN66">
        <v>763.649</v>
      </c>
      <c r="AO66">
        <v>712.00199999999995</v>
      </c>
    </row>
    <row r="67" spans="1:41" hidden="1">
      <c r="A67">
        <v>65</v>
      </c>
      <c r="B67" s="14">
        <v>605.58100000000002</v>
      </c>
      <c r="C67" s="14">
        <v>588.73399999999992</v>
      </c>
      <c r="D67" s="14">
        <v>598.65100000000007</v>
      </c>
      <c r="E67" s="14">
        <v>590.15499999999997</v>
      </c>
      <c r="F67" s="14">
        <v>635.89099999999996</v>
      </c>
      <c r="G67" s="14"/>
      <c r="H67" s="14"/>
      <c r="I67" s="14">
        <v>583.88</v>
      </c>
      <c r="J67" s="14">
        <v>583.57800000000009</v>
      </c>
      <c r="K67" s="14">
        <v>583.66700000000003</v>
      </c>
      <c r="L67" s="14">
        <v>602.22799999999995</v>
      </c>
      <c r="M67" s="14">
        <v>582.45400000000006</v>
      </c>
      <c r="N67" s="14"/>
      <c r="O67" s="14"/>
      <c r="P67" s="14">
        <v>590.26499999999999</v>
      </c>
      <c r="Q67" s="14">
        <v>591.07900000000006</v>
      </c>
      <c r="R67" s="14">
        <v>609.69799999999998</v>
      </c>
      <c r="S67" s="14">
        <v>591.53100000000006</v>
      </c>
      <c r="T67" s="14">
        <v>586.55500000000006</v>
      </c>
      <c r="U67" s="1"/>
      <c r="W67">
        <v>335.904</v>
      </c>
      <c r="X67">
        <v>355.52699999999999</v>
      </c>
      <c r="Y67">
        <v>736.94399999999996</v>
      </c>
      <c r="Z67">
        <v>978.875</v>
      </c>
      <c r="AA67">
        <v>718.64800000000002</v>
      </c>
      <c r="AD67">
        <v>332.61</v>
      </c>
      <c r="AE67">
        <v>345.59199999999998</v>
      </c>
      <c r="AF67">
        <v>737.89099999999996</v>
      </c>
      <c r="AG67">
        <v>754.91700000000003</v>
      </c>
      <c r="AH67">
        <v>744.66800000000001</v>
      </c>
      <c r="AK67">
        <v>332.03399999999999</v>
      </c>
      <c r="AL67">
        <v>328.97699999999998</v>
      </c>
      <c r="AM67">
        <v>697.22199999999998</v>
      </c>
      <c r="AN67">
        <v>764.19299999999998</v>
      </c>
      <c r="AO67">
        <v>708.30499999999995</v>
      </c>
    </row>
    <row r="68" spans="1:41" hidden="1">
      <c r="A68">
        <v>66</v>
      </c>
      <c r="B68" s="14">
        <v>650.61199999999997</v>
      </c>
      <c r="C68" s="14">
        <v>587.73099999999999</v>
      </c>
      <c r="D68" s="14">
        <v>595.04500000000007</v>
      </c>
      <c r="E68" s="14">
        <v>629.2410000000001</v>
      </c>
      <c r="F68" s="14">
        <v>598.79499999999996</v>
      </c>
      <c r="G68" s="14"/>
      <c r="H68" s="14"/>
      <c r="I68" s="14">
        <v>582.495</v>
      </c>
      <c r="J68" s="14">
        <v>584.21100000000001</v>
      </c>
      <c r="K68" s="14">
        <v>609.80999999999995</v>
      </c>
      <c r="L68" s="14">
        <v>583.053</v>
      </c>
      <c r="M68" s="14">
        <v>581.61399999999992</v>
      </c>
      <c r="N68" s="14"/>
      <c r="O68" s="14"/>
      <c r="P68" s="14">
        <v>588.87199999999996</v>
      </c>
      <c r="Q68" s="14">
        <v>615.125</v>
      </c>
      <c r="R68" s="14">
        <v>591.36099999999999</v>
      </c>
      <c r="S68" s="14">
        <v>605.72699999999998</v>
      </c>
      <c r="T68" s="14">
        <v>592.64400000000001</v>
      </c>
      <c r="U68" s="1"/>
      <c r="W68">
        <v>317.73899999999998</v>
      </c>
      <c r="X68">
        <v>335.31700000000001</v>
      </c>
      <c r="Y68">
        <v>742.79499999999996</v>
      </c>
      <c r="Z68">
        <v>979.54300000000001</v>
      </c>
      <c r="AA68">
        <v>755.55200000000002</v>
      </c>
      <c r="AD68">
        <v>341.548</v>
      </c>
      <c r="AE68">
        <v>364.72199999999998</v>
      </c>
      <c r="AF68">
        <v>716.10500000000002</v>
      </c>
      <c r="AG68">
        <v>763.73599999999999</v>
      </c>
      <c r="AH68">
        <v>790.03899999999999</v>
      </c>
      <c r="AK68">
        <v>331.43200000000002</v>
      </c>
      <c r="AL68">
        <v>329.61900000000003</v>
      </c>
      <c r="AM68">
        <v>745.29200000000003</v>
      </c>
      <c r="AN68">
        <v>857.71</v>
      </c>
      <c r="AO68">
        <v>741.74199999999996</v>
      </c>
    </row>
    <row r="69" spans="1:41" hidden="1">
      <c r="A69">
        <v>67</v>
      </c>
      <c r="B69" s="14">
        <v>582.971</v>
      </c>
      <c r="C69" s="14">
        <v>635.702</v>
      </c>
      <c r="D69" s="14">
        <v>620.60500000000002</v>
      </c>
      <c r="E69" s="14">
        <v>596.38300000000004</v>
      </c>
      <c r="F69" s="14">
        <v>594.46799999999996</v>
      </c>
      <c r="G69" s="14"/>
      <c r="H69" s="14"/>
      <c r="I69" s="14">
        <v>581.58199999999999</v>
      </c>
      <c r="J69" s="14">
        <v>607.101</v>
      </c>
      <c r="K69" s="14">
        <v>582.86800000000005</v>
      </c>
      <c r="L69" s="14">
        <v>583.91899999999998</v>
      </c>
      <c r="M69" s="14">
        <v>583.28199999999993</v>
      </c>
      <c r="N69" s="14"/>
      <c r="O69" s="14"/>
      <c r="P69" s="14">
        <v>614.73699999999997</v>
      </c>
      <c r="Q69" s="14">
        <v>589.94000000000005</v>
      </c>
      <c r="R69" s="14">
        <v>592.66899999999998</v>
      </c>
      <c r="S69" s="14">
        <v>593.553</v>
      </c>
      <c r="T69" s="14">
        <v>591.19799999999998</v>
      </c>
      <c r="U69" s="1"/>
      <c r="W69">
        <v>339.19299999999998</v>
      </c>
      <c r="X69">
        <v>404.32</v>
      </c>
      <c r="Y69">
        <v>740.76099999999997</v>
      </c>
      <c r="Z69">
        <v>981.06100000000004</v>
      </c>
      <c r="AA69">
        <v>774.60199999999998</v>
      </c>
      <c r="AD69">
        <v>382.15300000000002</v>
      </c>
      <c r="AE69">
        <v>369.39400000000001</v>
      </c>
      <c r="AF69">
        <v>779.04</v>
      </c>
      <c r="AG69">
        <v>831.71</v>
      </c>
      <c r="AH69">
        <v>822.44500000000005</v>
      </c>
      <c r="AK69">
        <v>344.02300000000002</v>
      </c>
      <c r="AL69">
        <v>342.69299999999998</v>
      </c>
      <c r="AM69">
        <v>760.52</v>
      </c>
      <c r="AN69">
        <v>775.26400000000001</v>
      </c>
      <c r="AO69">
        <v>740.125</v>
      </c>
    </row>
    <row r="70" spans="1:41" hidden="1">
      <c r="A70">
        <v>68</v>
      </c>
      <c r="B70" s="14">
        <v>588.21900000000005</v>
      </c>
      <c r="C70" s="14">
        <v>648.45500000000004</v>
      </c>
      <c r="D70" s="14">
        <v>587.74599999999998</v>
      </c>
      <c r="E70" s="14">
        <v>600.5859999999999</v>
      </c>
      <c r="F70" s="14">
        <v>603.1450000000001</v>
      </c>
      <c r="G70" s="14"/>
      <c r="H70" s="14"/>
      <c r="I70" s="14">
        <v>610.05499999999995</v>
      </c>
      <c r="J70" s="14">
        <v>582.87599999999998</v>
      </c>
      <c r="K70" s="14">
        <v>581.947</v>
      </c>
      <c r="L70" s="14">
        <v>584.34100000000001</v>
      </c>
      <c r="M70" s="14">
        <v>582.78</v>
      </c>
      <c r="N70" s="14"/>
      <c r="O70" s="14"/>
      <c r="P70" s="14">
        <v>607.15700000000004</v>
      </c>
      <c r="Q70" s="14">
        <v>591.02499999999998</v>
      </c>
      <c r="R70" s="14">
        <v>598.98900000000003</v>
      </c>
      <c r="S70" s="14">
        <v>627.25699999999995</v>
      </c>
      <c r="T70" s="14">
        <v>611.29900000000009</v>
      </c>
      <c r="U70" s="1"/>
      <c r="W70">
        <v>361.53300000000002</v>
      </c>
      <c r="X70">
        <v>390.71300000000002</v>
      </c>
      <c r="Y70">
        <v>865.51400000000001</v>
      </c>
      <c r="Z70">
        <v>1073.57</v>
      </c>
      <c r="AA70">
        <v>804.32299999999998</v>
      </c>
      <c r="AD70">
        <v>388.363</v>
      </c>
      <c r="AE70">
        <v>418.65899999999999</v>
      </c>
      <c r="AF70">
        <v>787.67899999999997</v>
      </c>
      <c r="AG70">
        <v>833.56299999999999</v>
      </c>
      <c r="AH70">
        <v>837.88</v>
      </c>
      <c r="AK70">
        <v>372.27</v>
      </c>
      <c r="AL70">
        <v>338.28899999999999</v>
      </c>
      <c r="AM70">
        <v>724.36900000000003</v>
      </c>
      <c r="AN70">
        <v>768.23</v>
      </c>
      <c r="AO70">
        <v>773.125</v>
      </c>
    </row>
    <row r="71" spans="1:41" hidden="1">
      <c r="A71">
        <v>69</v>
      </c>
      <c r="B71" s="14">
        <v>613.12900000000002</v>
      </c>
      <c r="C71" s="14">
        <v>591.23800000000006</v>
      </c>
      <c r="D71" s="14">
        <v>604.72899999999993</v>
      </c>
      <c r="E71" s="14">
        <v>591.71600000000001</v>
      </c>
      <c r="F71" s="14">
        <v>601.27200000000005</v>
      </c>
      <c r="G71" s="14"/>
      <c r="H71" s="14"/>
      <c r="I71" s="14">
        <v>623.92499999999995</v>
      </c>
      <c r="J71" s="14">
        <v>583.58699999999999</v>
      </c>
      <c r="K71" s="14">
        <v>583.01300000000003</v>
      </c>
      <c r="L71" s="14">
        <v>583.56500000000005</v>
      </c>
      <c r="M71" s="14">
        <v>608.97400000000005</v>
      </c>
      <c r="N71" s="14"/>
      <c r="O71" s="14"/>
      <c r="P71" s="14">
        <v>591.97400000000005</v>
      </c>
      <c r="Q71" s="14">
        <v>589.61500000000001</v>
      </c>
      <c r="R71" s="14">
        <v>592.22699999999998</v>
      </c>
      <c r="S71" s="14">
        <v>630.95000000000005</v>
      </c>
      <c r="T71" s="14">
        <v>596.19299999999998</v>
      </c>
      <c r="U71" s="1"/>
      <c r="W71">
        <v>374.59399999999999</v>
      </c>
      <c r="X71">
        <v>427.69099999999997</v>
      </c>
      <c r="Y71">
        <v>803.25599999999997</v>
      </c>
      <c r="Z71">
        <v>1120.7</v>
      </c>
      <c r="AA71">
        <v>839.8</v>
      </c>
      <c r="AD71">
        <v>400.32499999999999</v>
      </c>
      <c r="AE71">
        <v>387.83600000000001</v>
      </c>
      <c r="AF71">
        <v>818.00800000000004</v>
      </c>
      <c r="AG71">
        <v>786.54899999999998</v>
      </c>
      <c r="AH71">
        <v>723.01900000000001</v>
      </c>
      <c r="AK71">
        <v>342.596</v>
      </c>
      <c r="AL71">
        <v>342.00099999999998</v>
      </c>
      <c r="AM71">
        <v>725.13599999999997</v>
      </c>
      <c r="AN71">
        <v>768.71</v>
      </c>
      <c r="AO71">
        <v>812.98099999999999</v>
      </c>
    </row>
    <row r="72" spans="1:41" hidden="1">
      <c r="A72">
        <v>70</v>
      </c>
      <c r="B72" s="14">
        <v>621.17999999999995</v>
      </c>
      <c r="C72" s="14">
        <v>659.14499999999998</v>
      </c>
      <c r="D72" s="14">
        <v>589.57899999999995</v>
      </c>
      <c r="E72" s="14">
        <v>590.54099999999994</v>
      </c>
      <c r="F72" s="14">
        <v>618.745</v>
      </c>
      <c r="G72" s="14"/>
      <c r="H72" s="14"/>
      <c r="I72" s="14">
        <v>587.19500000000005</v>
      </c>
      <c r="J72" s="14">
        <v>591.84099999999989</v>
      </c>
      <c r="K72" s="14">
        <v>584.79099999999994</v>
      </c>
      <c r="L72" s="14">
        <v>608.88</v>
      </c>
      <c r="M72" s="14">
        <v>584.00799999999992</v>
      </c>
      <c r="N72" s="14"/>
      <c r="O72" s="14"/>
      <c r="P72" s="14">
        <v>595.12900000000002</v>
      </c>
      <c r="Q72" s="14">
        <v>592.40099999999995</v>
      </c>
      <c r="R72" s="14">
        <v>617.68100000000004</v>
      </c>
      <c r="S72" s="14">
        <v>594.7940000000001</v>
      </c>
      <c r="T72" s="14">
        <v>597.75</v>
      </c>
      <c r="W72">
        <v>370.72800000000001</v>
      </c>
      <c r="X72">
        <v>403.18400000000003</v>
      </c>
      <c r="Y72">
        <v>829.03599999999994</v>
      </c>
      <c r="Z72">
        <v>967.24</v>
      </c>
      <c r="AA72">
        <v>754.91099999999994</v>
      </c>
      <c r="AD72">
        <v>341.97500000000002</v>
      </c>
      <c r="AE72">
        <v>341.06799999999998</v>
      </c>
      <c r="AF72">
        <v>739.68499999999995</v>
      </c>
      <c r="AG72">
        <v>784.54600000000005</v>
      </c>
      <c r="AH72">
        <v>732.89499999999998</v>
      </c>
      <c r="AK72">
        <v>344.19</v>
      </c>
      <c r="AL72">
        <v>334.36399999999998</v>
      </c>
      <c r="AM72">
        <v>729.59199999999998</v>
      </c>
      <c r="AN72">
        <v>741.23400000000004</v>
      </c>
      <c r="AO72">
        <v>730.98199999999997</v>
      </c>
    </row>
    <row r="73" spans="1:41" hidden="1">
      <c r="A73">
        <v>71</v>
      </c>
      <c r="B73" s="14">
        <v>617.572</v>
      </c>
      <c r="C73" s="14">
        <v>601.96199999999999</v>
      </c>
      <c r="D73" s="14">
        <v>610.67000000000007</v>
      </c>
      <c r="E73" s="14">
        <v>622.45300000000009</v>
      </c>
      <c r="F73" s="14">
        <v>589.39299999999992</v>
      </c>
      <c r="G73" s="14"/>
      <c r="H73" s="14"/>
      <c r="I73" s="14">
        <v>583.78800000000001</v>
      </c>
      <c r="J73" s="14">
        <v>584.51499999999999</v>
      </c>
      <c r="K73" s="14">
        <v>599.49</v>
      </c>
      <c r="L73" s="14">
        <v>585.322</v>
      </c>
      <c r="M73" s="14">
        <v>586.36200000000008</v>
      </c>
      <c r="N73" s="14"/>
      <c r="O73" s="14"/>
      <c r="P73" s="14">
        <v>589.31399999999996</v>
      </c>
      <c r="Q73" s="14">
        <v>617.48</v>
      </c>
      <c r="R73" s="14">
        <v>593.50700000000006</v>
      </c>
      <c r="S73" s="14">
        <v>593.68799999999999</v>
      </c>
      <c r="T73" s="14">
        <v>590.22399999999993</v>
      </c>
      <c r="U73" s="1"/>
      <c r="W73">
        <v>332.96600000000001</v>
      </c>
      <c r="X73">
        <v>398.714</v>
      </c>
      <c r="Y73">
        <v>721.96400000000006</v>
      </c>
      <c r="Z73">
        <v>940.77499999999998</v>
      </c>
      <c r="AA73">
        <v>719.25400000000002</v>
      </c>
      <c r="AD73">
        <v>334.96699999999998</v>
      </c>
      <c r="AE73">
        <v>340.95100000000002</v>
      </c>
      <c r="AF73">
        <v>765.11800000000005</v>
      </c>
      <c r="AG73">
        <v>769.18600000000004</v>
      </c>
      <c r="AH73">
        <v>726.34199999999998</v>
      </c>
      <c r="AK73">
        <v>331.34800000000001</v>
      </c>
      <c r="AL73">
        <v>346.68599999999998</v>
      </c>
      <c r="AM73">
        <v>737.11099999999999</v>
      </c>
      <c r="AN73">
        <v>785.47299999999996</v>
      </c>
      <c r="AO73">
        <v>734.87300000000005</v>
      </c>
    </row>
    <row r="74" spans="1:41" hidden="1">
      <c r="A74">
        <v>72</v>
      </c>
      <c r="B74" s="14">
        <v>604.78599999999994</v>
      </c>
      <c r="C74" s="14">
        <v>605.6</v>
      </c>
      <c r="D74" s="14">
        <v>622.52600000000007</v>
      </c>
      <c r="E74" s="14">
        <v>594.56600000000003</v>
      </c>
      <c r="F74" s="14">
        <v>593.82900000000006</v>
      </c>
      <c r="G74" s="14"/>
      <c r="H74" s="14"/>
      <c r="I74" s="14">
        <v>582.32500000000005</v>
      </c>
      <c r="J74" s="14">
        <v>609.49099999999999</v>
      </c>
      <c r="K74" s="14">
        <v>582.23699999999997</v>
      </c>
      <c r="L74" s="14">
        <v>584.29699999999991</v>
      </c>
      <c r="M74" s="14">
        <v>584.05499999999995</v>
      </c>
      <c r="N74" s="14"/>
      <c r="O74" s="14"/>
      <c r="P74" s="14">
        <v>617.37400000000002</v>
      </c>
      <c r="Q74" s="14">
        <v>590.50100000000009</v>
      </c>
      <c r="R74" s="14">
        <v>592.73299999999995</v>
      </c>
      <c r="S74" s="14">
        <v>595.17399999999998</v>
      </c>
      <c r="T74" s="14">
        <v>613.22799999999995</v>
      </c>
      <c r="U74" s="1"/>
      <c r="W74">
        <v>342.464</v>
      </c>
      <c r="X74">
        <v>335.28800000000001</v>
      </c>
      <c r="Y74">
        <v>715.77499999999998</v>
      </c>
      <c r="Z74">
        <v>940.64099999999996</v>
      </c>
      <c r="AA74">
        <v>764.98599999999999</v>
      </c>
      <c r="AD74">
        <v>342.47800000000001</v>
      </c>
      <c r="AE74">
        <v>381.6</v>
      </c>
      <c r="AF74">
        <v>716.01499999999999</v>
      </c>
      <c r="AG74">
        <v>814.74800000000005</v>
      </c>
      <c r="AH74">
        <v>836.19600000000003</v>
      </c>
      <c r="AK74">
        <v>371.697</v>
      </c>
      <c r="AL74">
        <v>368.03399999999999</v>
      </c>
      <c r="AM74">
        <v>789.94899999999996</v>
      </c>
      <c r="AN74">
        <v>898.18100000000004</v>
      </c>
      <c r="AO74">
        <v>808.58299999999997</v>
      </c>
    </row>
    <row r="75" spans="1:41" hidden="1">
      <c r="A75">
        <v>73</v>
      </c>
      <c r="B75" s="14">
        <v>583.90099999999995</v>
      </c>
      <c r="C75" s="14">
        <v>636.21600000000001</v>
      </c>
      <c r="D75" s="14">
        <v>601.04399999999998</v>
      </c>
      <c r="E75" s="14">
        <v>599.726</v>
      </c>
      <c r="F75" s="14">
        <v>603.71600000000001</v>
      </c>
      <c r="G75" s="14"/>
      <c r="H75" s="14"/>
      <c r="I75" s="14">
        <v>582.27599999999995</v>
      </c>
      <c r="J75" s="14">
        <v>602.21299999999997</v>
      </c>
      <c r="K75" s="14">
        <v>585.58500000000004</v>
      </c>
      <c r="L75" s="14">
        <v>583.58500000000004</v>
      </c>
      <c r="M75" s="14">
        <v>583.74199999999996</v>
      </c>
      <c r="N75" s="14"/>
      <c r="O75" s="14"/>
      <c r="P75" s="14">
        <v>590.36699999999996</v>
      </c>
      <c r="Q75" s="14">
        <v>589.46299999999997</v>
      </c>
      <c r="R75" s="14">
        <v>592.08899999999994</v>
      </c>
      <c r="S75" s="14">
        <v>595.72400000000005</v>
      </c>
      <c r="T75" s="14">
        <v>618.99099999999999</v>
      </c>
      <c r="W75">
        <v>341.63900000000001</v>
      </c>
      <c r="X75">
        <v>367.65300000000002</v>
      </c>
      <c r="Y75">
        <v>762.18799999999999</v>
      </c>
      <c r="Z75">
        <v>1044.82</v>
      </c>
      <c r="AA75">
        <v>791.50699999999995</v>
      </c>
      <c r="AD75">
        <v>381.68599999999998</v>
      </c>
      <c r="AE75">
        <v>387.529</v>
      </c>
      <c r="AF75">
        <v>792.30100000000004</v>
      </c>
      <c r="AG75">
        <v>836.25300000000004</v>
      </c>
      <c r="AH75">
        <v>827.35900000000004</v>
      </c>
      <c r="AK75">
        <v>374.68700000000001</v>
      </c>
      <c r="AL75">
        <v>396.50700000000001</v>
      </c>
      <c r="AM75">
        <v>817.04</v>
      </c>
      <c r="AN75">
        <v>773.16399999999999</v>
      </c>
      <c r="AO75">
        <v>733.22799999999995</v>
      </c>
    </row>
    <row r="76" spans="1:41" hidden="1">
      <c r="A76">
        <v>74</v>
      </c>
      <c r="B76" s="14">
        <v>590.15200000000004</v>
      </c>
      <c r="C76" s="14">
        <v>614.096</v>
      </c>
      <c r="D76" s="14">
        <v>595.65500000000009</v>
      </c>
      <c r="E76" s="14">
        <v>593.43000000000006</v>
      </c>
      <c r="F76" s="14">
        <v>591.03000000000009</v>
      </c>
      <c r="G76" s="14"/>
      <c r="H76" s="14"/>
      <c r="I76" s="14">
        <v>606.49099999999999</v>
      </c>
      <c r="J76" s="14">
        <v>583.65100000000007</v>
      </c>
      <c r="K76" s="14">
        <v>585.04399999999998</v>
      </c>
      <c r="L76" s="14">
        <v>585.43900000000008</v>
      </c>
      <c r="M76" s="14">
        <v>600.28399999999999</v>
      </c>
      <c r="N76" s="14"/>
      <c r="O76" s="14"/>
      <c r="P76" s="14">
        <v>591.101</v>
      </c>
      <c r="Q76" s="14">
        <v>588.21800000000007</v>
      </c>
      <c r="R76" s="14">
        <v>590.41500000000008</v>
      </c>
      <c r="S76" s="14">
        <v>618.92200000000003</v>
      </c>
      <c r="T76" s="14">
        <v>587.03899999999999</v>
      </c>
      <c r="U76" s="1"/>
      <c r="W76">
        <v>363.72800000000001</v>
      </c>
      <c r="X76">
        <v>383.62700000000001</v>
      </c>
      <c r="Y76">
        <v>758.55200000000002</v>
      </c>
      <c r="Z76">
        <v>1007.84</v>
      </c>
      <c r="AA76">
        <v>787.29399999999998</v>
      </c>
      <c r="AD76">
        <v>392.28300000000002</v>
      </c>
      <c r="AE76">
        <v>364.55099999999999</v>
      </c>
      <c r="AF76">
        <v>753.70799999999997</v>
      </c>
      <c r="AG76">
        <v>736.40499999999997</v>
      </c>
      <c r="AH76">
        <v>817.83299999999997</v>
      </c>
      <c r="AK76">
        <v>350.834</v>
      </c>
      <c r="AL76">
        <v>384.923</v>
      </c>
      <c r="AM76">
        <v>719.35699999999997</v>
      </c>
      <c r="AN76">
        <v>766.52099999999996</v>
      </c>
      <c r="AO76">
        <v>743.029</v>
      </c>
    </row>
    <row r="77" spans="1:41" hidden="1">
      <c r="A77">
        <v>75</v>
      </c>
      <c r="B77" s="14">
        <v>616.74300000000005</v>
      </c>
      <c r="C77" s="14">
        <v>589.10599999999999</v>
      </c>
      <c r="D77" s="14">
        <v>598.83500000000004</v>
      </c>
      <c r="E77" s="14">
        <v>646.34100000000001</v>
      </c>
      <c r="F77" s="14">
        <v>712.03099999999995</v>
      </c>
      <c r="G77" s="14"/>
      <c r="H77" s="14"/>
      <c r="I77" s="14">
        <v>582.27099999999996</v>
      </c>
      <c r="J77" s="14">
        <v>582.673</v>
      </c>
      <c r="K77" s="14">
        <v>581.47400000000005</v>
      </c>
      <c r="L77" s="14">
        <v>615.93899999999996</v>
      </c>
      <c r="M77" s="14">
        <v>582.29200000000003</v>
      </c>
      <c r="N77" s="14"/>
      <c r="O77" s="14"/>
      <c r="P77" s="14">
        <v>588.26900000000001</v>
      </c>
      <c r="Q77" s="14">
        <v>592.221</v>
      </c>
      <c r="R77" s="14">
        <v>622.69699999999989</v>
      </c>
      <c r="S77" s="14">
        <v>595.04100000000005</v>
      </c>
      <c r="T77" s="14">
        <v>590.06200000000001</v>
      </c>
      <c r="W77">
        <v>378.34199999999998</v>
      </c>
      <c r="X77">
        <v>397.53800000000001</v>
      </c>
      <c r="Y77">
        <v>882.11800000000005</v>
      </c>
      <c r="Z77">
        <v>992.83799999999997</v>
      </c>
      <c r="AA77">
        <v>807.79200000000003</v>
      </c>
      <c r="AD77">
        <v>352.96499999999997</v>
      </c>
      <c r="AE77">
        <v>367.88</v>
      </c>
      <c r="AF77">
        <v>835.82899999999995</v>
      </c>
      <c r="AG77">
        <v>787.06700000000001</v>
      </c>
      <c r="AH77">
        <v>771.68</v>
      </c>
      <c r="AK77">
        <v>387.25799999999998</v>
      </c>
      <c r="AL77">
        <v>343.42700000000002</v>
      </c>
      <c r="AM77">
        <v>731.26400000000001</v>
      </c>
      <c r="AN77">
        <v>757.52200000000005</v>
      </c>
      <c r="AO77">
        <v>726.17200000000003</v>
      </c>
    </row>
    <row r="78" spans="1:41" hidden="1">
      <c r="A78">
        <v>76</v>
      </c>
      <c r="B78" s="14">
        <v>580.56299999999999</v>
      </c>
      <c r="C78" s="14">
        <v>643.97300000000007</v>
      </c>
      <c r="D78" s="14">
        <v>591.81799999999998</v>
      </c>
      <c r="E78" s="14">
        <v>639.00699999999995</v>
      </c>
      <c r="F78" s="14">
        <v>585.50599999999997</v>
      </c>
      <c r="G78" s="14"/>
      <c r="H78" s="14"/>
      <c r="I78" s="14">
        <v>584.18299999999999</v>
      </c>
      <c r="J78" s="14">
        <v>585</v>
      </c>
      <c r="K78" s="14">
        <v>580.62699999999995</v>
      </c>
      <c r="L78" s="14">
        <v>610.08600000000001</v>
      </c>
      <c r="M78" s="14">
        <v>581.93099999999993</v>
      </c>
      <c r="N78" s="14"/>
      <c r="O78" s="14"/>
      <c r="P78" s="14">
        <v>589.42600000000004</v>
      </c>
      <c r="Q78" s="14">
        <v>609.82499999999993</v>
      </c>
      <c r="R78" s="14">
        <v>593.08499999999992</v>
      </c>
      <c r="S78" s="14">
        <v>665.72699999999998</v>
      </c>
      <c r="T78" s="14">
        <v>588.84199999999998</v>
      </c>
      <c r="U78" s="1"/>
      <c r="W78">
        <v>399.10300000000001</v>
      </c>
      <c r="X78">
        <v>408.07900000000001</v>
      </c>
      <c r="Y78">
        <v>862.34100000000001</v>
      </c>
      <c r="Z78">
        <v>1070.3499999999999</v>
      </c>
      <c r="AA78">
        <v>825.52700000000004</v>
      </c>
      <c r="AD78">
        <v>340.37</v>
      </c>
      <c r="AE78">
        <v>338.75299999999999</v>
      </c>
      <c r="AF78">
        <v>722.08900000000006</v>
      </c>
      <c r="AG78">
        <v>763.85900000000004</v>
      </c>
      <c r="AH78">
        <v>767.51499999999999</v>
      </c>
      <c r="AK78">
        <v>332.02</v>
      </c>
      <c r="AL78">
        <v>328.22699999999998</v>
      </c>
      <c r="AM78">
        <v>697.08900000000006</v>
      </c>
      <c r="AN78">
        <v>736.56600000000003</v>
      </c>
      <c r="AO78">
        <v>747.10699999999997</v>
      </c>
    </row>
    <row r="79" spans="1:41" hidden="1">
      <c r="A79">
        <v>77</v>
      </c>
      <c r="B79" s="14">
        <v>596.13099999999997</v>
      </c>
      <c r="C79" s="14">
        <v>600.65800000000002</v>
      </c>
      <c r="D79" s="14">
        <v>633.12100000000009</v>
      </c>
      <c r="E79" s="14">
        <v>609.51400000000001</v>
      </c>
      <c r="F79" s="14">
        <v>589.70699999999999</v>
      </c>
      <c r="G79" s="14"/>
      <c r="H79" s="14"/>
      <c r="I79" s="14">
        <v>583.86400000000003</v>
      </c>
      <c r="J79" s="14">
        <v>582.82799999999997</v>
      </c>
      <c r="K79" s="14">
        <v>616.21400000000006</v>
      </c>
      <c r="L79" s="14">
        <v>583.98599999999999</v>
      </c>
      <c r="M79" s="14">
        <v>582.3549999999999</v>
      </c>
      <c r="N79" s="14"/>
      <c r="O79" s="14"/>
      <c r="P79" s="14">
        <v>619.04100000000005</v>
      </c>
      <c r="Q79" s="14">
        <v>590.00900000000001</v>
      </c>
      <c r="R79" s="14">
        <v>594.00200000000007</v>
      </c>
      <c r="S79" s="14">
        <v>593.87699999999995</v>
      </c>
      <c r="T79" s="14">
        <v>622.48800000000006</v>
      </c>
      <c r="U79" s="1"/>
      <c r="W79">
        <v>373.12700000000001</v>
      </c>
      <c r="X79">
        <v>359.83600000000001</v>
      </c>
      <c r="Y79">
        <v>770.02300000000002</v>
      </c>
      <c r="Z79">
        <v>966.95299999999997</v>
      </c>
      <c r="AA79">
        <v>724.12199999999996</v>
      </c>
      <c r="AD79">
        <v>343.27499999999998</v>
      </c>
      <c r="AE79">
        <v>336.57900000000001</v>
      </c>
      <c r="AF79">
        <v>719.10900000000004</v>
      </c>
      <c r="AG79">
        <v>758.33199999999999</v>
      </c>
      <c r="AH79">
        <v>744.19500000000005</v>
      </c>
      <c r="AK79">
        <v>331.39400000000001</v>
      </c>
      <c r="AL79">
        <v>329.03500000000003</v>
      </c>
      <c r="AM79">
        <v>695.48900000000003</v>
      </c>
      <c r="AN79">
        <v>764.44899999999996</v>
      </c>
      <c r="AO79">
        <v>733.00900000000001</v>
      </c>
    </row>
    <row r="80" spans="1:41" hidden="1">
      <c r="A80">
        <v>78</v>
      </c>
      <c r="B80" s="14">
        <v>591.54999999999995</v>
      </c>
      <c r="C80" s="14">
        <v>639.79399999999998</v>
      </c>
      <c r="D80" s="14">
        <v>590.34199999999998</v>
      </c>
      <c r="E80" s="14">
        <v>591.88300000000004</v>
      </c>
      <c r="F80" s="14">
        <v>590.31399999999996</v>
      </c>
      <c r="G80" s="14"/>
      <c r="H80" s="14"/>
      <c r="I80" s="14">
        <v>582.06899999999996</v>
      </c>
      <c r="J80" s="14">
        <v>610.23500000000001</v>
      </c>
      <c r="K80" s="14">
        <v>583.02699999999993</v>
      </c>
      <c r="L80" s="14">
        <v>583.78899999999999</v>
      </c>
      <c r="M80" s="14">
        <v>582.471</v>
      </c>
      <c r="N80" s="14"/>
      <c r="O80" s="14"/>
      <c r="P80" s="14">
        <v>590.30600000000004</v>
      </c>
      <c r="Q80" s="14">
        <v>587.96</v>
      </c>
      <c r="R80" s="14">
        <v>591.57299999999998</v>
      </c>
      <c r="S80" s="14">
        <v>617.17599999999993</v>
      </c>
      <c r="T80" s="14">
        <v>653.22400000000005</v>
      </c>
      <c r="U80" s="1"/>
      <c r="W80">
        <v>327.483</v>
      </c>
      <c r="X80">
        <v>353.19600000000003</v>
      </c>
      <c r="Y80">
        <v>752.88400000000001</v>
      </c>
      <c r="Z80">
        <v>940.53800000000001</v>
      </c>
      <c r="AA80">
        <v>767.23800000000006</v>
      </c>
      <c r="AD80">
        <v>338.92700000000002</v>
      </c>
      <c r="AE80">
        <v>340.97699999999998</v>
      </c>
      <c r="AF80">
        <v>781.90099999999995</v>
      </c>
      <c r="AG80">
        <v>1150.8499999999999</v>
      </c>
      <c r="AH80">
        <v>729.04700000000003</v>
      </c>
      <c r="AK80">
        <v>341.59899999999999</v>
      </c>
      <c r="AL80">
        <v>333.786</v>
      </c>
      <c r="AM80">
        <v>730.31100000000004</v>
      </c>
      <c r="AN80">
        <v>866.23500000000001</v>
      </c>
      <c r="AO80">
        <v>833.745</v>
      </c>
    </row>
    <row r="81" spans="1:41" hidden="1">
      <c r="A81">
        <v>79</v>
      </c>
      <c r="B81" s="14">
        <v>592.63699999999994</v>
      </c>
      <c r="C81" s="14">
        <v>619.351</v>
      </c>
      <c r="D81" s="14">
        <v>592.00400000000002</v>
      </c>
      <c r="E81" s="14">
        <v>601.84499999999991</v>
      </c>
      <c r="F81" s="14">
        <v>595.82900000000006</v>
      </c>
      <c r="G81" s="14"/>
      <c r="H81" s="14"/>
      <c r="I81" s="14">
        <v>607.99199999999996</v>
      </c>
      <c r="J81" s="14">
        <v>649.96100000000001</v>
      </c>
      <c r="K81" s="14">
        <v>584.99199999999996</v>
      </c>
      <c r="L81" s="14">
        <v>583.154</v>
      </c>
      <c r="M81" s="14">
        <v>583.22900000000004</v>
      </c>
      <c r="N81" s="14"/>
      <c r="O81" s="14"/>
      <c r="P81" s="14">
        <v>591.827</v>
      </c>
      <c r="Q81" s="14">
        <v>591.02800000000002</v>
      </c>
      <c r="R81" s="14">
        <v>593.48400000000004</v>
      </c>
      <c r="S81" s="14">
        <v>618.01</v>
      </c>
      <c r="T81" s="14">
        <v>635.14300000000003</v>
      </c>
      <c r="U81" s="1"/>
      <c r="W81">
        <v>340.09199999999998</v>
      </c>
      <c r="X81">
        <v>358.24200000000002</v>
      </c>
      <c r="Y81">
        <v>734.44100000000003</v>
      </c>
      <c r="Z81">
        <v>1017.49</v>
      </c>
      <c r="AA81">
        <v>758.05100000000004</v>
      </c>
      <c r="AD81">
        <v>355.64100000000002</v>
      </c>
      <c r="AE81">
        <v>538.86300000000006</v>
      </c>
      <c r="AF81">
        <v>1381.15</v>
      </c>
      <c r="AG81">
        <v>735.59799999999996</v>
      </c>
      <c r="AH81">
        <v>735.65899999999999</v>
      </c>
      <c r="AK81">
        <v>384.67599999999999</v>
      </c>
      <c r="AL81">
        <v>374.03699999999998</v>
      </c>
      <c r="AM81">
        <v>819.69299999999998</v>
      </c>
      <c r="AN81">
        <v>852.351</v>
      </c>
      <c r="AO81">
        <v>820.85</v>
      </c>
    </row>
    <row r="82" spans="1:41" hidden="1">
      <c r="A82">
        <v>80</v>
      </c>
      <c r="B82" s="14">
        <v>629.85599999999999</v>
      </c>
      <c r="C82" s="14">
        <v>588.61300000000006</v>
      </c>
      <c r="D82" s="14">
        <v>593.97400000000005</v>
      </c>
      <c r="E82" s="14">
        <v>594.62700000000007</v>
      </c>
      <c r="F82" s="14">
        <v>601.49900000000002</v>
      </c>
      <c r="G82" s="14"/>
      <c r="H82" s="14"/>
      <c r="I82" s="14">
        <v>602.85299999999995</v>
      </c>
      <c r="J82" s="14">
        <v>583.35199999999998</v>
      </c>
      <c r="K82" s="14">
        <v>583.89700000000005</v>
      </c>
      <c r="L82" s="14">
        <v>582.452</v>
      </c>
      <c r="M82" s="14">
        <v>601.98700000000008</v>
      </c>
      <c r="N82" s="14"/>
      <c r="O82" s="14"/>
      <c r="P82" s="14">
        <v>666.07299999999998</v>
      </c>
      <c r="Q82" s="14">
        <v>686.745</v>
      </c>
      <c r="R82" s="14">
        <v>595.17200000000003</v>
      </c>
      <c r="S82" s="14">
        <v>595.21500000000003</v>
      </c>
      <c r="T82" s="14">
        <v>590.73400000000004</v>
      </c>
      <c r="W82">
        <v>331.53699999999998</v>
      </c>
      <c r="X82">
        <v>356.56700000000001</v>
      </c>
      <c r="Y82">
        <v>741.87</v>
      </c>
      <c r="Z82">
        <v>1009.98</v>
      </c>
      <c r="AA82">
        <v>762.68499999999995</v>
      </c>
      <c r="AD82">
        <v>326.47300000000001</v>
      </c>
      <c r="AE82">
        <v>328.42</v>
      </c>
      <c r="AF82">
        <v>740.39599999999996</v>
      </c>
      <c r="AG82">
        <v>756.97299999999996</v>
      </c>
      <c r="AH82">
        <v>698.52</v>
      </c>
      <c r="AK82">
        <v>384.32600000000002</v>
      </c>
      <c r="AL82">
        <v>393.15800000000002</v>
      </c>
      <c r="AM82">
        <v>889.10799999999995</v>
      </c>
      <c r="AN82">
        <v>869.53899999999999</v>
      </c>
      <c r="AO82">
        <v>810.322</v>
      </c>
    </row>
    <row r="83" spans="1:41" hidden="1">
      <c r="A83">
        <v>81</v>
      </c>
      <c r="B83" s="14">
        <v>629.29600000000005</v>
      </c>
      <c r="C83" s="14">
        <v>603.649</v>
      </c>
      <c r="D83" s="14">
        <v>589.33299999999997</v>
      </c>
      <c r="E83" s="14">
        <v>627.125</v>
      </c>
      <c r="F83" s="14">
        <v>605.601</v>
      </c>
      <c r="G83" s="14"/>
      <c r="H83" s="14"/>
      <c r="I83" s="14">
        <v>583.34299999999996</v>
      </c>
      <c r="J83" s="14">
        <v>581.95300000000009</v>
      </c>
      <c r="K83" s="14">
        <v>585.86900000000003</v>
      </c>
      <c r="L83" s="14">
        <v>609.30200000000002</v>
      </c>
      <c r="M83" s="14">
        <v>582.79000000000008</v>
      </c>
      <c r="N83" s="14"/>
      <c r="O83" s="14"/>
      <c r="P83" s="14">
        <v>590.18499999999995</v>
      </c>
      <c r="Q83" s="14">
        <v>621.73800000000006</v>
      </c>
      <c r="R83" s="14">
        <v>602.37599999999998</v>
      </c>
      <c r="S83" s="14">
        <v>593.98599999999999</v>
      </c>
      <c r="T83" s="14">
        <v>589.91899999999998</v>
      </c>
      <c r="U83" s="1"/>
      <c r="W83">
        <v>341.17200000000003</v>
      </c>
      <c r="X83">
        <v>372.82499999999999</v>
      </c>
      <c r="Y83">
        <v>821.11</v>
      </c>
      <c r="Z83">
        <v>1102.5899999999999</v>
      </c>
      <c r="AA83">
        <v>754.83199999999999</v>
      </c>
      <c r="AD83">
        <v>358.75400000000002</v>
      </c>
      <c r="AE83">
        <v>336.78699999999998</v>
      </c>
      <c r="AF83">
        <v>730.92200000000003</v>
      </c>
      <c r="AG83">
        <v>780.92100000000005</v>
      </c>
      <c r="AH83">
        <v>724.61300000000006</v>
      </c>
      <c r="AK83">
        <v>395.85899999999998</v>
      </c>
      <c r="AL83">
        <v>394.82</v>
      </c>
      <c r="AM83">
        <v>759.90700000000004</v>
      </c>
      <c r="AN83">
        <v>775.20399999999995</v>
      </c>
      <c r="AO83">
        <v>735.34100000000001</v>
      </c>
    </row>
    <row r="84" spans="1:41" hidden="1">
      <c r="A84">
        <v>82</v>
      </c>
      <c r="B84" s="14">
        <v>601.78</v>
      </c>
      <c r="C84" s="14">
        <v>617.62900000000002</v>
      </c>
      <c r="D84" s="14">
        <v>601.78399999999999</v>
      </c>
      <c r="E84" s="14">
        <v>613.74700000000007</v>
      </c>
      <c r="F84" s="14">
        <v>586.74</v>
      </c>
      <c r="G84" s="14"/>
      <c r="H84" s="14"/>
      <c r="I84" s="14">
        <v>582.64</v>
      </c>
      <c r="J84" s="14">
        <v>583.16300000000001</v>
      </c>
      <c r="K84" s="14">
        <v>610.55099999999993</v>
      </c>
      <c r="L84" s="14">
        <v>583.76900000000001</v>
      </c>
      <c r="M84" s="14">
        <v>582.44499999999994</v>
      </c>
      <c r="N84" s="14"/>
      <c r="O84" s="14"/>
      <c r="P84" s="14">
        <v>617.75300000000004</v>
      </c>
      <c r="Q84" s="14">
        <v>644.072</v>
      </c>
      <c r="R84" s="14">
        <v>641.53200000000004</v>
      </c>
      <c r="S84" s="14">
        <v>651.846</v>
      </c>
      <c r="T84" s="14">
        <v>781.29000000000008</v>
      </c>
      <c r="W84">
        <v>330.83699999999999</v>
      </c>
      <c r="X84">
        <v>351.54</v>
      </c>
      <c r="Y84">
        <v>739.74099999999999</v>
      </c>
      <c r="Z84">
        <v>941.55200000000002</v>
      </c>
      <c r="AA84">
        <v>717.84299999999996</v>
      </c>
      <c r="AD84">
        <v>345.83</v>
      </c>
      <c r="AE84">
        <v>335.28399999999999</v>
      </c>
      <c r="AF84">
        <v>720.95799999999997</v>
      </c>
      <c r="AG84">
        <v>907.73800000000006</v>
      </c>
      <c r="AH84">
        <v>735.07299999999998</v>
      </c>
      <c r="AK84">
        <v>354.50599999999997</v>
      </c>
      <c r="AL84">
        <v>367.93799999999999</v>
      </c>
      <c r="AM84">
        <v>728.56200000000001</v>
      </c>
      <c r="AN84">
        <v>757.38800000000003</v>
      </c>
      <c r="AO84">
        <v>707.66300000000001</v>
      </c>
    </row>
    <row r="85" spans="1:41" hidden="1">
      <c r="A85">
        <v>83</v>
      </c>
      <c r="B85" s="14">
        <v>591.12300000000005</v>
      </c>
      <c r="C85" s="14">
        <v>592.33199999999999</v>
      </c>
      <c r="D85" s="14">
        <v>635.846</v>
      </c>
      <c r="E85" s="14">
        <v>590.83799999999997</v>
      </c>
      <c r="F85" s="14">
        <v>596.79499999999996</v>
      </c>
      <c r="G85" s="14"/>
      <c r="H85" s="14"/>
      <c r="I85" s="14">
        <v>581.37900000000002</v>
      </c>
      <c r="J85" s="14">
        <v>605.44500000000005</v>
      </c>
      <c r="K85" s="14">
        <v>584.31100000000004</v>
      </c>
      <c r="L85" s="14">
        <v>584.67499999999995</v>
      </c>
      <c r="M85" s="14">
        <v>583.29899999999998</v>
      </c>
      <c r="N85" s="14"/>
      <c r="O85" s="14"/>
      <c r="P85" s="14">
        <v>610.84400000000005</v>
      </c>
      <c r="Q85" s="14">
        <v>772.42599999999993</v>
      </c>
      <c r="R85" s="14">
        <v>592.995</v>
      </c>
      <c r="S85" s="14">
        <v>607.61</v>
      </c>
      <c r="T85" s="14">
        <v>589.98900000000003</v>
      </c>
      <c r="U85" s="1"/>
      <c r="W85">
        <v>319.39600000000002</v>
      </c>
      <c r="X85">
        <v>362.72</v>
      </c>
      <c r="Y85">
        <v>725.62699999999995</v>
      </c>
      <c r="Z85">
        <v>1043.02</v>
      </c>
      <c r="AA85">
        <v>857.40599999999995</v>
      </c>
      <c r="AD85">
        <v>469.678</v>
      </c>
      <c r="AE85">
        <v>328.774</v>
      </c>
      <c r="AF85">
        <v>694.73299999999995</v>
      </c>
      <c r="AG85">
        <v>780.76700000000005</v>
      </c>
      <c r="AH85">
        <v>746.14700000000005</v>
      </c>
      <c r="AK85">
        <v>354.601</v>
      </c>
      <c r="AL85">
        <v>328.786</v>
      </c>
      <c r="AM85">
        <v>696.63300000000004</v>
      </c>
      <c r="AN85">
        <v>735.66</v>
      </c>
      <c r="AO85">
        <v>734.52</v>
      </c>
    </row>
    <row r="86" spans="1:41" hidden="1">
      <c r="A86">
        <v>84</v>
      </c>
      <c r="B86" s="14">
        <v>596.36900000000003</v>
      </c>
      <c r="C86" s="14">
        <v>647.55600000000004</v>
      </c>
      <c r="D86" s="14">
        <v>633.72900000000004</v>
      </c>
      <c r="E86" s="14">
        <v>606.85699999999997</v>
      </c>
      <c r="F86" s="14">
        <v>583.74599999999998</v>
      </c>
      <c r="G86" s="14"/>
      <c r="H86" s="14"/>
      <c r="I86" s="14">
        <v>582.43700000000001</v>
      </c>
      <c r="J86" s="14">
        <v>609.91499999999996</v>
      </c>
      <c r="K86" s="14">
        <v>583.36400000000003</v>
      </c>
      <c r="L86" s="14">
        <v>581.75</v>
      </c>
      <c r="M86" s="14">
        <v>581.33699999999999</v>
      </c>
      <c r="N86" s="14"/>
      <c r="O86" s="14"/>
      <c r="P86" s="14">
        <v>591.25099999999998</v>
      </c>
      <c r="Q86" s="14">
        <v>592.02600000000007</v>
      </c>
      <c r="R86" s="14">
        <v>618.44399999999996</v>
      </c>
      <c r="S86" s="14">
        <v>596.72499999999991</v>
      </c>
      <c r="T86" s="14">
        <v>588.23800000000006</v>
      </c>
      <c r="U86" s="1"/>
      <c r="W86">
        <v>371.66899999999998</v>
      </c>
      <c r="X86">
        <v>406.24700000000001</v>
      </c>
      <c r="Y86">
        <v>829.16200000000003</v>
      </c>
      <c r="Z86">
        <v>1088.55</v>
      </c>
      <c r="AA86">
        <v>812.80499999999995</v>
      </c>
      <c r="AD86">
        <v>326.49900000000002</v>
      </c>
      <c r="AE86">
        <v>327.46300000000002</v>
      </c>
      <c r="AF86">
        <v>692.65099999999995</v>
      </c>
      <c r="AG86">
        <v>761.48500000000001</v>
      </c>
      <c r="AH86">
        <v>703.16300000000001</v>
      </c>
      <c r="AK86">
        <v>331.43900000000002</v>
      </c>
      <c r="AL86">
        <v>328.36700000000002</v>
      </c>
      <c r="AM86">
        <v>695.58199999999999</v>
      </c>
      <c r="AN86">
        <v>735.69100000000003</v>
      </c>
      <c r="AO86">
        <v>737.54899999999998</v>
      </c>
    </row>
    <row r="87" spans="1:41" hidden="1">
      <c r="A87">
        <v>85</v>
      </c>
      <c r="B87" s="14">
        <v>632.04399999999998</v>
      </c>
      <c r="C87" s="14">
        <v>589.23300000000006</v>
      </c>
      <c r="D87" s="14">
        <v>590.62899999999991</v>
      </c>
      <c r="E87" s="14">
        <v>593.40700000000004</v>
      </c>
      <c r="F87" s="14">
        <v>626.73900000000003</v>
      </c>
      <c r="G87" s="14"/>
      <c r="H87" s="14"/>
      <c r="I87" s="14">
        <v>609.03300000000002</v>
      </c>
      <c r="J87" s="14">
        <v>583.55799999999999</v>
      </c>
      <c r="K87" s="14">
        <v>583.25</v>
      </c>
      <c r="L87" s="14">
        <v>582.95900000000006</v>
      </c>
      <c r="M87" s="14">
        <v>599.03300000000002</v>
      </c>
      <c r="N87" s="14"/>
      <c r="O87" s="14"/>
      <c r="P87" s="14">
        <v>592.83699999999999</v>
      </c>
      <c r="Q87" s="14">
        <v>615.70600000000002</v>
      </c>
      <c r="R87" s="14">
        <v>593.20600000000002</v>
      </c>
      <c r="S87" s="14">
        <v>591.58699999999999</v>
      </c>
      <c r="T87" s="14">
        <v>589.78600000000006</v>
      </c>
      <c r="U87" s="1"/>
      <c r="W87">
        <v>343.70400000000001</v>
      </c>
      <c r="X87">
        <v>365.125</v>
      </c>
      <c r="Y87">
        <v>740.44600000000003</v>
      </c>
      <c r="Z87">
        <v>1011.37</v>
      </c>
      <c r="AA87">
        <v>753.71699999999998</v>
      </c>
      <c r="AD87">
        <v>322.38499999999999</v>
      </c>
      <c r="AE87">
        <v>327.58600000000001</v>
      </c>
      <c r="AF87">
        <v>692.976</v>
      </c>
      <c r="AG87">
        <v>764.80499999999995</v>
      </c>
      <c r="AH87">
        <v>709.13499999999999</v>
      </c>
      <c r="AK87">
        <v>341.11399999999998</v>
      </c>
      <c r="AL87">
        <v>352.23599999999999</v>
      </c>
      <c r="AM87">
        <v>722.74</v>
      </c>
      <c r="AN87">
        <v>798.221</v>
      </c>
      <c r="AO87">
        <v>735.03399999999999</v>
      </c>
    </row>
    <row r="88" spans="1:41" hidden="1">
      <c r="A88">
        <v>86</v>
      </c>
      <c r="B88" s="14">
        <v>606.60400000000004</v>
      </c>
      <c r="C88" s="14">
        <v>605.10599999999999</v>
      </c>
      <c r="D88" s="14">
        <v>595.428</v>
      </c>
      <c r="E88" s="14">
        <v>604.54300000000001</v>
      </c>
      <c r="F88" s="14">
        <v>611.8900000000001</v>
      </c>
      <c r="G88" s="14"/>
      <c r="H88" s="14"/>
      <c r="I88" s="14">
        <v>581.16399999999999</v>
      </c>
      <c r="J88" s="14">
        <v>581.95500000000004</v>
      </c>
      <c r="K88" s="14">
        <v>585.875</v>
      </c>
      <c r="L88" s="14">
        <v>615.822</v>
      </c>
      <c r="M88" s="14">
        <v>585.12699999999995</v>
      </c>
      <c r="N88" s="14"/>
      <c r="O88" s="14"/>
      <c r="P88" s="14">
        <v>616.17700000000002</v>
      </c>
      <c r="Q88" s="14">
        <v>588.45299999999997</v>
      </c>
      <c r="R88" s="14">
        <v>592.16599999999994</v>
      </c>
      <c r="S88" s="14">
        <v>780.78099999999995</v>
      </c>
      <c r="T88" s="14">
        <v>620.12800000000004</v>
      </c>
      <c r="U88" s="1"/>
      <c r="W88">
        <v>337.38600000000002</v>
      </c>
      <c r="X88">
        <v>354.17700000000002</v>
      </c>
      <c r="Y88">
        <v>780.19200000000001</v>
      </c>
      <c r="Z88">
        <v>988.59</v>
      </c>
      <c r="AA88">
        <v>757.05499999999995</v>
      </c>
      <c r="AD88">
        <v>326.20400000000001</v>
      </c>
      <c r="AE88">
        <v>328.73500000000001</v>
      </c>
      <c r="AF88">
        <v>711.88599999999997</v>
      </c>
      <c r="AG88">
        <v>733.13199999999995</v>
      </c>
      <c r="AH88">
        <v>702.30899999999997</v>
      </c>
      <c r="AK88">
        <v>351.61500000000001</v>
      </c>
      <c r="AL88">
        <v>344.42</v>
      </c>
      <c r="AM88">
        <v>733.08399999999995</v>
      </c>
      <c r="AN88">
        <v>848.49400000000003</v>
      </c>
      <c r="AO88">
        <v>834.34100000000001</v>
      </c>
    </row>
    <row r="89" spans="1:41" hidden="1">
      <c r="A89">
        <v>87</v>
      </c>
      <c r="B89" s="14">
        <v>644.17499999999995</v>
      </c>
      <c r="C89" s="14">
        <v>601.96899999999994</v>
      </c>
      <c r="D89" s="14">
        <v>593.19799999999998</v>
      </c>
      <c r="E89" s="14">
        <v>615.60300000000007</v>
      </c>
      <c r="F89" s="14">
        <v>584.80399999999997</v>
      </c>
      <c r="G89" s="14"/>
      <c r="H89" s="14"/>
      <c r="I89" s="14">
        <v>582.84799999999996</v>
      </c>
      <c r="J89" s="14">
        <v>583.505</v>
      </c>
      <c r="K89" s="14">
        <v>582.11800000000005</v>
      </c>
      <c r="L89" s="14">
        <v>611.68700000000001</v>
      </c>
      <c r="M89" s="14">
        <v>584.06200000000001</v>
      </c>
      <c r="N89" s="14"/>
      <c r="O89" s="14"/>
      <c r="P89" s="14">
        <v>590.45500000000004</v>
      </c>
      <c r="Q89" s="14">
        <v>588.745</v>
      </c>
      <c r="R89" s="14">
        <v>591.1880000000001</v>
      </c>
      <c r="S89" s="14">
        <v>618.30499999999995</v>
      </c>
      <c r="T89" s="14">
        <v>586.85599999999999</v>
      </c>
      <c r="U89" s="1"/>
      <c r="W89">
        <v>339.18900000000002</v>
      </c>
      <c r="X89">
        <v>378.726</v>
      </c>
      <c r="Y89">
        <v>741.01199999999994</v>
      </c>
      <c r="Z89">
        <v>1046.04</v>
      </c>
      <c r="AA89">
        <v>800.56</v>
      </c>
      <c r="AD89">
        <v>320.31299999999999</v>
      </c>
      <c r="AE89">
        <v>328.12900000000002</v>
      </c>
      <c r="AF89">
        <v>747.779</v>
      </c>
      <c r="AG89">
        <v>741.91800000000001</v>
      </c>
      <c r="AH89">
        <v>733.41300000000001</v>
      </c>
      <c r="AK89">
        <v>386.21100000000001</v>
      </c>
      <c r="AL89">
        <v>392.14699999999999</v>
      </c>
      <c r="AM89">
        <v>779.65599999999995</v>
      </c>
      <c r="AN89">
        <v>872.64800000000002</v>
      </c>
      <c r="AO89">
        <v>820.72900000000004</v>
      </c>
    </row>
    <row r="90" spans="1:41" hidden="1">
      <c r="A90">
        <v>88</v>
      </c>
      <c r="B90" s="14">
        <v>603.67700000000002</v>
      </c>
      <c r="C90" s="14">
        <v>600.33000000000004</v>
      </c>
      <c r="D90" s="14">
        <v>625.82899999999995</v>
      </c>
      <c r="E90" s="14">
        <v>597.76700000000005</v>
      </c>
      <c r="F90" s="14">
        <v>584.28399999999999</v>
      </c>
      <c r="G90" s="14"/>
      <c r="H90" s="14"/>
      <c r="I90" s="14">
        <v>580.745</v>
      </c>
      <c r="J90" s="14">
        <v>582.81299999999999</v>
      </c>
      <c r="K90" s="14">
        <v>600.40300000000002</v>
      </c>
      <c r="L90" s="14">
        <v>582.90499999999997</v>
      </c>
      <c r="M90" s="14">
        <v>579.95699999999999</v>
      </c>
      <c r="N90" s="14"/>
      <c r="O90" s="14"/>
      <c r="P90" s="14">
        <v>588.65499999999997</v>
      </c>
      <c r="Q90" s="14">
        <v>595.64400000000001</v>
      </c>
      <c r="R90" s="14">
        <v>691.36099999999999</v>
      </c>
      <c r="S90" s="14">
        <v>662.64100000000008</v>
      </c>
      <c r="T90" s="14">
        <v>597.55499999999995</v>
      </c>
      <c r="U90" s="1"/>
      <c r="W90">
        <v>337.12700000000001</v>
      </c>
      <c r="X90">
        <v>336.291</v>
      </c>
      <c r="Y90">
        <v>712.38599999999997</v>
      </c>
      <c r="Z90">
        <v>939.601</v>
      </c>
      <c r="AA90">
        <v>746.80200000000002</v>
      </c>
      <c r="AD90">
        <v>333.15800000000002</v>
      </c>
      <c r="AE90">
        <v>359.56799999999998</v>
      </c>
      <c r="AF90">
        <v>726.95600000000002</v>
      </c>
      <c r="AG90">
        <v>759.84699999999998</v>
      </c>
      <c r="AH90">
        <v>761.45699999999999</v>
      </c>
      <c r="AK90">
        <v>402.26</v>
      </c>
      <c r="AL90">
        <v>360.69400000000002</v>
      </c>
      <c r="AM90">
        <v>888.971</v>
      </c>
      <c r="AN90">
        <v>843.19</v>
      </c>
      <c r="AO90">
        <v>777.66800000000001</v>
      </c>
    </row>
    <row r="91" spans="1:41" hidden="1">
      <c r="A91">
        <v>89</v>
      </c>
      <c r="B91" s="14">
        <v>588.39499999999998</v>
      </c>
      <c r="C91" s="14">
        <v>607.49099999999999</v>
      </c>
      <c r="D91" s="14">
        <v>606.91700000000003</v>
      </c>
      <c r="E91" s="14">
        <v>603.38300000000004</v>
      </c>
      <c r="F91" s="14">
        <v>590.24099999999999</v>
      </c>
      <c r="G91" s="14"/>
      <c r="H91" s="14"/>
      <c r="I91" s="14">
        <v>580.42399999999998</v>
      </c>
      <c r="J91" s="14">
        <v>602.52099999999996</v>
      </c>
      <c r="K91" s="14">
        <v>661.95299999999997</v>
      </c>
      <c r="L91" s="14">
        <v>584.31799999999998</v>
      </c>
      <c r="M91" s="14">
        <v>583.27200000000005</v>
      </c>
      <c r="N91" s="14"/>
      <c r="O91" s="14"/>
      <c r="P91" s="14">
        <v>600.64300000000003</v>
      </c>
      <c r="Q91" s="14">
        <v>621.976</v>
      </c>
      <c r="R91" s="14">
        <v>618.53899999999999</v>
      </c>
      <c r="S91" s="14">
        <v>610.28700000000003</v>
      </c>
      <c r="T91" s="14">
        <v>627.34400000000005</v>
      </c>
      <c r="U91" s="1"/>
      <c r="W91">
        <v>319.40800000000002</v>
      </c>
      <c r="X91">
        <v>347.673</v>
      </c>
      <c r="Y91">
        <v>756.98099999999999</v>
      </c>
      <c r="Z91">
        <v>1020.15</v>
      </c>
      <c r="AA91">
        <v>756.14700000000005</v>
      </c>
      <c r="AD91">
        <v>334.58600000000001</v>
      </c>
      <c r="AE91">
        <v>341.23399999999998</v>
      </c>
      <c r="AF91">
        <v>729.70500000000004</v>
      </c>
      <c r="AG91">
        <v>936.34900000000005</v>
      </c>
      <c r="AH91">
        <v>703.27300000000002</v>
      </c>
      <c r="AK91">
        <v>356.62799999999999</v>
      </c>
      <c r="AL91">
        <v>339.58300000000003</v>
      </c>
      <c r="AM91">
        <v>744.58900000000006</v>
      </c>
      <c r="AN91">
        <v>737.76</v>
      </c>
      <c r="AO91">
        <v>707.04</v>
      </c>
    </row>
    <row r="92" spans="1:41" hidden="1">
      <c r="A92">
        <v>90</v>
      </c>
      <c r="B92" s="14">
        <v>651.56600000000003</v>
      </c>
      <c r="C92" s="14">
        <v>595.33499999999992</v>
      </c>
      <c r="D92" s="14">
        <v>598.88600000000008</v>
      </c>
      <c r="E92" s="14">
        <v>606.35900000000004</v>
      </c>
      <c r="F92" s="14">
        <v>588.93099999999993</v>
      </c>
      <c r="G92" s="14"/>
      <c r="H92" s="14"/>
      <c r="I92" s="14">
        <v>598.11900000000003</v>
      </c>
      <c r="J92" s="14">
        <v>584.024</v>
      </c>
      <c r="K92" s="14">
        <v>584.697</v>
      </c>
      <c r="L92" s="14">
        <v>583.04900000000009</v>
      </c>
      <c r="M92" s="14">
        <v>613.70600000000002</v>
      </c>
      <c r="N92" s="14"/>
      <c r="O92" s="14"/>
      <c r="P92" s="14">
        <v>620.87099999999998</v>
      </c>
      <c r="Q92" s="14">
        <v>597.14</v>
      </c>
      <c r="R92" s="14">
        <v>599.78800000000001</v>
      </c>
      <c r="S92" s="14">
        <v>593.48599999999999</v>
      </c>
      <c r="T92" s="14">
        <v>651.55600000000004</v>
      </c>
      <c r="U92" s="1"/>
      <c r="W92">
        <v>375.41399999999999</v>
      </c>
      <c r="X92">
        <v>373.13799999999998</v>
      </c>
      <c r="Y92">
        <v>830.06100000000004</v>
      </c>
      <c r="Z92">
        <v>1137.9000000000001</v>
      </c>
      <c r="AA92">
        <v>840.33</v>
      </c>
      <c r="AD92">
        <v>327.26499999999999</v>
      </c>
      <c r="AE92">
        <v>329.87799999999999</v>
      </c>
      <c r="AF92">
        <v>692.58</v>
      </c>
      <c r="AG92">
        <v>756.86900000000003</v>
      </c>
      <c r="AH92">
        <v>702.34299999999996</v>
      </c>
      <c r="AK92">
        <v>330.98399999999998</v>
      </c>
      <c r="AL92">
        <v>343.57799999999997</v>
      </c>
      <c r="AM92">
        <v>694.51099999999997</v>
      </c>
      <c r="AN92">
        <v>735.76599999999996</v>
      </c>
      <c r="AO92">
        <v>771.53099999999995</v>
      </c>
    </row>
    <row r="93" spans="1:41" hidden="1">
      <c r="A93">
        <v>91</v>
      </c>
      <c r="B93" s="14">
        <v>622.19799999999998</v>
      </c>
      <c r="C93" s="14">
        <v>593.32399999999996</v>
      </c>
      <c r="D93" s="14">
        <v>608.15200000000004</v>
      </c>
      <c r="E93" s="14">
        <v>591.45800000000008</v>
      </c>
      <c r="F93" s="14">
        <v>635.47399999999993</v>
      </c>
      <c r="G93" s="14"/>
      <c r="H93" s="14"/>
      <c r="I93" s="14">
        <v>582.17399999999998</v>
      </c>
      <c r="J93" s="14">
        <v>583.255</v>
      </c>
      <c r="K93" s="14">
        <v>582.01499999999999</v>
      </c>
      <c r="L93" s="14">
        <v>584.07100000000003</v>
      </c>
      <c r="M93" s="14">
        <v>604.77099999999996</v>
      </c>
      <c r="N93" s="14"/>
      <c r="O93" s="14"/>
      <c r="P93" s="14">
        <v>595.03200000000004</v>
      </c>
      <c r="Q93" s="14">
        <v>590.49300000000005</v>
      </c>
      <c r="R93" s="14">
        <v>595.37900000000002</v>
      </c>
      <c r="S93" s="14">
        <v>632.70000000000005</v>
      </c>
      <c r="T93" s="14">
        <v>593.21199999999999</v>
      </c>
      <c r="U93" s="1"/>
      <c r="W93">
        <v>346.82299999999998</v>
      </c>
      <c r="X93">
        <v>440.28300000000002</v>
      </c>
      <c r="Y93">
        <v>794.29399999999998</v>
      </c>
      <c r="Z93">
        <v>1084.96</v>
      </c>
      <c r="AA93">
        <v>816.44799999999998</v>
      </c>
      <c r="AD93">
        <v>322.83699999999999</v>
      </c>
      <c r="AE93">
        <v>328.83699999999999</v>
      </c>
      <c r="AF93">
        <v>722.46</v>
      </c>
      <c r="AG93">
        <v>734.649</v>
      </c>
      <c r="AH93">
        <v>714.20100000000002</v>
      </c>
      <c r="AK93">
        <v>359.488</v>
      </c>
      <c r="AL93">
        <v>328.61599999999999</v>
      </c>
      <c r="AM93">
        <v>696.46900000000005</v>
      </c>
      <c r="AN93">
        <v>735.81</v>
      </c>
      <c r="AO93">
        <v>728.64</v>
      </c>
    </row>
    <row r="94" spans="1:41">
      <c r="A94">
        <v>92</v>
      </c>
      <c r="B94" s="14">
        <v>598.404</v>
      </c>
      <c r="C94" s="14">
        <v>603.75699999999995</v>
      </c>
      <c r="D94" s="14">
        <v>594.89199999999994</v>
      </c>
      <c r="E94" s="14">
        <v>618.74300000000005</v>
      </c>
      <c r="F94" s="14">
        <v>582.32399999999996</v>
      </c>
      <c r="G94" s="14"/>
      <c r="H94" s="14"/>
      <c r="I94" s="14">
        <v>582.90700000000004</v>
      </c>
      <c r="J94" s="14">
        <v>581.59699999999998</v>
      </c>
      <c r="K94" s="14">
        <v>582.03700000000003</v>
      </c>
      <c r="L94" s="14">
        <v>606.46500000000003</v>
      </c>
      <c r="M94" s="14">
        <v>581.01100000000008</v>
      </c>
      <c r="N94" s="14"/>
      <c r="O94" s="14"/>
      <c r="P94" s="14">
        <v>610.21699999999998</v>
      </c>
      <c r="Q94" s="14">
        <v>601.12600000000009</v>
      </c>
      <c r="R94" s="14">
        <v>595.13300000000004</v>
      </c>
      <c r="S94" s="14">
        <v>624.26</v>
      </c>
      <c r="T94" s="14">
        <v>589.42499999999995</v>
      </c>
      <c r="W94">
        <v>400.31099999999998</v>
      </c>
      <c r="X94">
        <v>394.791</v>
      </c>
      <c r="Y94">
        <v>787.69100000000003</v>
      </c>
      <c r="Z94">
        <v>996.07</v>
      </c>
      <c r="AA94">
        <v>777.35299999999995</v>
      </c>
      <c r="AD94">
        <v>352.93700000000001</v>
      </c>
      <c r="AE94">
        <v>336.90499999999997</v>
      </c>
      <c r="AF94">
        <v>742.41899999999998</v>
      </c>
      <c r="AG94">
        <v>732.29100000000005</v>
      </c>
      <c r="AH94">
        <v>699.76099999999997</v>
      </c>
      <c r="AK94">
        <v>333.447</v>
      </c>
      <c r="AL94">
        <v>338.42599999999999</v>
      </c>
      <c r="AM94">
        <v>714.80399999999997</v>
      </c>
      <c r="AN94">
        <v>762.55</v>
      </c>
      <c r="AO94">
        <v>766.87699999999995</v>
      </c>
    </row>
    <row r="95" spans="1:41">
      <c r="A95">
        <v>93</v>
      </c>
      <c r="B95" s="14">
        <v>608.32799999999997</v>
      </c>
      <c r="C95" s="14">
        <v>603.40700000000004</v>
      </c>
      <c r="D95" s="14">
        <v>625.2299999999999</v>
      </c>
      <c r="E95" s="14">
        <v>591.9140000000001</v>
      </c>
      <c r="F95" s="14">
        <v>598.8599999999999</v>
      </c>
      <c r="G95" s="14"/>
      <c r="H95" s="14"/>
      <c r="I95" s="14">
        <v>586.16499999999996</v>
      </c>
      <c r="J95" s="14">
        <v>593.66</v>
      </c>
      <c r="K95" s="14">
        <v>610.52</v>
      </c>
      <c r="L95" s="14">
        <v>590.42399999999998</v>
      </c>
      <c r="M95" s="14">
        <v>588.66899999999998</v>
      </c>
      <c r="N95" s="14"/>
      <c r="O95" s="14"/>
      <c r="P95" s="14">
        <v>595.03899999999999</v>
      </c>
      <c r="Q95" s="14">
        <v>596.23599999999999</v>
      </c>
      <c r="R95" s="14">
        <v>631.47399999999993</v>
      </c>
      <c r="S95" s="14">
        <v>594.38599999999997</v>
      </c>
      <c r="T95" s="14">
        <v>587.202</v>
      </c>
      <c r="U95" s="1"/>
      <c r="W95">
        <v>334.78199999999998</v>
      </c>
      <c r="X95">
        <v>352.24200000000002</v>
      </c>
      <c r="Y95">
        <v>766.77599999999995</v>
      </c>
      <c r="Z95">
        <v>1031.0899999999999</v>
      </c>
      <c r="AA95">
        <v>738.47900000000004</v>
      </c>
      <c r="AD95">
        <v>321.125</v>
      </c>
      <c r="AE95">
        <v>327.96899999999999</v>
      </c>
      <c r="AF95">
        <v>708.03099999999995</v>
      </c>
      <c r="AG95">
        <v>730.34699999999998</v>
      </c>
      <c r="AH95">
        <v>706.16700000000003</v>
      </c>
      <c r="AK95">
        <v>357.05700000000002</v>
      </c>
      <c r="AL95">
        <v>346.17899999999997</v>
      </c>
      <c r="AM95">
        <v>734.45299999999997</v>
      </c>
      <c r="AN95">
        <v>804.70600000000002</v>
      </c>
      <c r="AO95">
        <v>729.26700000000005</v>
      </c>
    </row>
    <row r="96" spans="1:41">
      <c r="A96">
        <v>94</v>
      </c>
      <c r="B96" s="14">
        <v>589.03099999999995</v>
      </c>
      <c r="C96" s="14">
        <v>596.02200000000005</v>
      </c>
      <c r="D96" s="14">
        <v>635.13499999999999</v>
      </c>
      <c r="E96" s="14">
        <v>594.33699999999999</v>
      </c>
      <c r="F96" s="14">
        <v>589.18099999999993</v>
      </c>
      <c r="G96" s="14"/>
      <c r="H96" s="14"/>
      <c r="I96" s="14">
        <v>582.39</v>
      </c>
      <c r="J96" s="14">
        <v>601.46100000000001</v>
      </c>
      <c r="K96" s="14">
        <v>583.88300000000004</v>
      </c>
      <c r="L96" s="14">
        <v>583.851</v>
      </c>
      <c r="M96" s="14">
        <v>581.59100000000001</v>
      </c>
      <c r="N96" s="14"/>
      <c r="O96" s="14"/>
      <c r="P96" s="14">
        <v>592.16899999999998</v>
      </c>
      <c r="Q96" s="14">
        <v>614.67099999999994</v>
      </c>
      <c r="R96" s="14">
        <v>597.38700000000006</v>
      </c>
      <c r="S96" s="14">
        <v>599.173</v>
      </c>
      <c r="T96" s="14">
        <v>589.01099999999997</v>
      </c>
      <c r="U96" s="1"/>
      <c r="W96">
        <v>320.49900000000002</v>
      </c>
      <c r="X96">
        <v>335.00200000000001</v>
      </c>
      <c r="Y96">
        <v>714.18100000000004</v>
      </c>
      <c r="Z96">
        <v>962.90700000000004</v>
      </c>
      <c r="AA96">
        <v>720.71299999999997</v>
      </c>
      <c r="AD96">
        <v>325.858</v>
      </c>
      <c r="AE96">
        <v>353.63200000000001</v>
      </c>
      <c r="AF96">
        <v>689.17700000000002</v>
      </c>
      <c r="AG96">
        <v>730.53899999999999</v>
      </c>
      <c r="AH96">
        <v>722.32899999999995</v>
      </c>
      <c r="AK96">
        <v>342.79500000000002</v>
      </c>
      <c r="AL96">
        <v>342.786</v>
      </c>
      <c r="AM96">
        <v>725.245</v>
      </c>
      <c r="AN96">
        <v>842.06700000000001</v>
      </c>
      <c r="AO96">
        <v>809.96400000000006</v>
      </c>
    </row>
    <row r="97" spans="1:41">
      <c r="A97">
        <v>95</v>
      </c>
      <c r="B97" s="14">
        <v>601.51599999999996</v>
      </c>
      <c r="C97" s="14">
        <v>609.202</v>
      </c>
      <c r="D97" s="14">
        <v>601.04999999999995</v>
      </c>
      <c r="E97" s="14">
        <v>595.48699999999997</v>
      </c>
      <c r="F97" s="14">
        <v>600.447</v>
      </c>
      <c r="G97" s="14"/>
      <c r="H97" s="14"/>
      <c r="I97" s="14">
        <v>605.577</v>
      </c>
      <c r="J97" s="14">
        <v>584.29899999999998</v>
      </c>
      <c r="K97" s="14">
        <v>582.572</v>
      </c>
      <c r="L97" s="14">
        <v>583.13900000000001</v>
      </c>
      <c r="M97" s="14">
        <v>582.25900000000001</v>
      </c>
      <c r="N97" s="14"/>
      <c r="O97" s="14"/>
      <c r="P97" s="14">
        <v>631.99</v>
      </c>
      <c r="Q97" s="14">
        <v>619.851</v>
      </c>
      <c r="R97" s="14">
        <v>598.41800000000001</v>
      </c>
      <c r="S97" s="14">
        <v>594.9799999999999</v>
      </c>
      <c r="T97" s="14">
        <v>619.27</v>
      </c>
      <c r="U97" s="1"/>
      <c r="W97">
        <v>338.76499999999999</v>
      </c>
      <c r="X97">
        <v>355.56200000000001</v>
      </c>
      <c r="Y97">
        <v>784.85</v>
      </c>
      <c r="Z97">
        <v>975.88900000000001</v>
      </c>
      <c r="AA97">
        <v>745.35199999999998</v>
      </c>
      <c r="AD97">
        <v>321.161</v>
      </c>
      <c r="AE97">
        <v>326.17399999999998</v>
      </c>
      <c r="AF97">
        <v>687.13599999999997</v>
      </c>
      <c r="AG97">
        <v>730.33600000000001</v>
      </c>
      <c r="AH97">
        <v>734.80399999999997</v>
      </c>
      <c r="AK97">
        <v>394.44799999999998</v>
      </c>
      <c r="AL97">
        <v>391.30500000000001</v>
      </c>
      <c r="AM97">
        <v>768.12900000000002</v>
      </c>
      <c r="AN97">
        <v>891.73099999999999</v>
      </c>
      <c r="AO97">
        <v>827.21299999999997</v>
      </c>
    </row>
    <row r="98" spans="1:41">
      <c r="A98">
        <v>96</v>
      </c>
      <c r="B98" s="14">
        <v>700.46400000000006</v>
      </c>
      <c r="C98" s="14">
        <v>597.80199999999991</v>
      </c>
      <c r="D98" s="14">
        <v>593.49799999999993</v>
      </c>
      <c r="E98" s="14">
        <v>605.96399999999994</v>
      </c>
      <c r="F98" s="14">
        <v>615.91200000000003</v>
      </c>
      <c r="G98" s="14"/>
      <c r="H98" s="14"/>
      <c r="I98" s="14">
        <v>603.70899999999995</v>
      </c>
      <c r="J98" s="14">
        <v>583.66300000000001</v>
      </c>
      <c r="K98" s="14">
        <v>582.822</v>
      </c>
      <c r="L98" s="14">
        <v>583.85599999999999</v>
      </c>
      <c r="M98" s="14">
        <v>621.34900000000005</v>
      </c>
      <c r="N98" s="14"/>
      <c r="O98" s="14"/>
      <c r="P98" s="14">
        <v>592.24</v>
      </c>
      <c r="Q98" s="14">
        <v>595.5089999999999</v>
      </c>
      <c r="R98" s="14">
        <v>594.94000000000005</v>
      </c>
      <c r="S98" s="14">
        <v>618.83799999999997</v>
      </c>
      <c r="T98" s="14">
        <v>594.73299999999995</v>
      </c>
      <c r="U98" s="1"/>
      <c r="W98">
        <v>358.69799999999998</v>
      </c>
      <c r="X98">
        <v>353.84100000000001</v>
      </c>
      <c r="Y98">
        <v>795.58600000000001</v>
      </c>
      <c r="Z98">
        <v>1105.78</v>
      </c>
      <c r="AA98">
        <v>957.846</v>
      </c>
      <c r="AD98">
        <v>325.62299999999999</v>
      </c>
      <c r="AE98">
        <v>326.51100000000002</v>
      </c>
      <c r="AF98">
        <v>692.12</v>
      </c>
      <c r="AG98">
        <v>757.88499999999999</v>
      </c>
      <c r="AH98">
        <v>706.30899999999997</v>
      </c>
      <c r="AK98">
        <v>399.64499999999998</v>
      </c>
      <c r="AL98">
        <v>368.10599999999999</v>
      </c>
      <c r="AM98">
        <v>738.99900000000002</v>
      </c>
      <c r="AN98">
        <v>737.30100000000004</v>
      </c>
      <c r="AO98">
        <v>723.97799999999995</v>
      </c>
    </row>
    <row r="99" spans="1:41">
      <c r="A99">
        <v>97</v>
      </c>
      <c r="B99" s="14">
        <v>603.67700000000002</v>
      </c>
      <c r="C99" s="14">
        <v>609.26400000000001</v>
      </c>
      <c r="D99" s="14">
        <v>591.06000000000006</v>
      </c>
      <c r="E99" s="14">
        <v>632.75800000000004</v>
      </c>
      <c r="F99" s="14">
        <v>595.09999999999991</v>
      </c>
      <c r="G99" s="14"/>
      <c r="H99" s="14"/>
      <c r="I99" s="14">
        <v>582.39700000000005</v>
      </c>
      <c r="J99" s="14">
        <v>582.98300000000006</v>
      </c>
      <c r="K99" s="14">
        <v>582.971</v>
      </c>
      <c r="L99" s="14">
        <v>581.93700000000001</v>
      </c>
      <c r="M99" s="14">
        <v>610.601</v>
      </c>
      <c r="N99" s="14"/>
      <c r="O99" s="14"/>
      <c r="P99" s="14">
        <v>606.20899999999995</v>
      </c>
      <c r="Q99" s="14">
        <v>592.48</v>
      </c>
      <c r="R99" s="14">
        <v>621.91700000000003</v>
      </c>
      <c r="S99" s="14">
        <v>594.68700000000001</v>
      </c>
      <c r="T99" s="14">
        <v>589.44799999999998</v>
      </c>
      <c r="U99" s="1"/>
      <c r="W99">
        <v>370.50200000000001</v>
      </c>
      <c r="X99">
        <v>402.94400000000002</v>
      </c>
      <c r="Y99">
        <v>818.84</v>
      </c>
      <c r="Z99">
        <v>1116.98</v>
      </c>
      <c r="AA99">
        <v>813.77700000000004</v>
      </c>
      <c r="AD99">
        <v>326.68099999999998</v>
      </c>
      <c r="AE99">
        <v>328.66899999999998</v>
      </c>
      <c r="AF99">
        <v>695.09299999999996</v>
      </c>
      <c r="AG99">
        <v>768.37199999999996</v>
      </c>
      <c r="AH99">
        <v>719.38499999999999</v>
      </c>
      <c r="AK99">
        <v>350.59</v>
      </c>
      <c r="AL99">
        <v>328.42899999999997</v>
      </c>
      <c r="AM99">
        <v>696.40099999999995</v>
      </c>
      <c r="AN99">
        <v>739.09799999999996</v>
      </c>
      <c r="AO99">
        <v>759.12400000000002</v>
      </c>
    </row>
    <row r="100" spans="1:41">
      <c r="A100">
        <v>98</v>
      </c>
      <c r="B100" s="14">
        <v>595.46799999999996</v>
      </c>
      <c r="C100" s="14">
        <v>588.26499999999999</v>
      </c>
      <c r="D100" s="14">
        <v>612.24299999999994</v>
      </c>
      <c r="E100" s="14">
        <v>600.54399999999998</v>
      </c>
      <c r="F100" s="14">
        <v>590.255</v>
      </c>
      <c r="G100" s="14"/>
      <c r="H100" s="14"/>
      <c r="I100" s="14">
        <v>582.13</v>
      </c>
      <c r="J100" s="14">
        <v>582.06599999999992</v>
      </c>
      <c r="K100" s="14">
        <v>585.798</v>
      </c>
      <c r="L100" s="14">
        <v>602.54099999999994</v>
      </c>
      <c r="M100" s="14">
        <v>581.13499999999999</v>
      </c>
      <c r="N100" s="14"/>
      <c r="O100" s="14"/>
      <c r="P100" s="14">
        <v>593.27200000000005</v>
      </c>
      <c r="Q100" s="14">
        <v>615.65099999999995</v>
      </c>
      <c r="R100" s="14">
        <v>596.92900000000009</v>
      </c>
      <c r="S100" s="14">
        <v>595.81200000000001</v>
      </c>
      <c r="T100" s="14">
        <v>590.87199999999996</v>
      </c>
      <c r="U100" s="1"/>
      <c r="W100">
        <v>357.15600000000001</v>
      </c>
      <c r="X100">
        <v>379.34899999999999</v>
      </c>
      <c r="Y100">
        <v>881.86699999999996</v>
      </c>
      <c r="Z100">
        <v>1128.8499999999999</v>
      </c>
      <c r="AA100">
        <v>794.57</v>
      </c>
      <c r="AD100">
        <v>330.53300000000002</v>
      </c>
      <c r="AE100">
        <v>329.67700000000002</v>
      </c>
      <c r="AF100">
        <v>714.35199999999998</v>
      </c>
      <c r="AG100">
        <v>737.26499999999999</v>
      </c>
      <c r="AH100">
        <v>703.43299999999999</v>
      </c>
      <c r="AK100">
        <v>344.05700000000002</v>
      </c>
      <c r="AL100">
        <v>349.11900000000003</v>
      </c>
      <c r="AM100">
        <v>728.22199999999998</v>
      </c>
      <c r="AN100">
        <v>739.77200000000005</v>
      </c>
      <c r="AO100">
        <v>741.61599999999999</v>
      </c>
    </row>
    <row r="101" spans="1:41">
      <c r="A101">
        <v>99</v>
      </c>
      <c r="B101" s="14">
        <v>596.96</v>
      </c>
      <c r="C101" s="14">
        <v>592.94799999999998</v>
      </c>
      <c r="D101" s="14">
        <v>642.59900000000005</v>
      </c>
      <c r="E101" s="14">
        <v>608.13900000000001</v>
      </c>
      <c r="F101" s="14">
        <v>593.23300000000006</v>
      </c>
      <c r="G101" s="14"/>
      <c r="H101" s="14"/>
      <c r="I101" s="14">
        <v>580.51900000000001</v>
      </c>
      <c r="J101" s="14">
        <v>582.98</v>
      </c>
      <c r="K101" s="14">
        <v>598.83799999999997</v>
      </c>
      <c r="L101" s="14">
        <v>585.15499999999997</v>
      </c>
      <c r="M101" s="14">
        <v>634.35900000000004</v>
      </c>
      <c r="N101" s="14"/>
      <c r="O101" s="14"/>
      <c r="P101" s="14">
        <v>592.45500000000004</v>
      </c>
      <c r="Q101" s="14">
        <v>616.02199999999993</v>
      </c>
      <c r="R101" s="14">
        <v>595.87</v>
      </c>
      <c r="S101" s="14">
        <v>595.28800000000001</v>
      </c>
      <c r="T101" s="14">
        <v>589.98399999999992</v>
      </c>
      <c r="U101" s="1"/>
      <c r="W101">
        <v>342.92399999999998</v>
      </c>
      <c r="X101">
        <v>353.50200000000001</v>
      </c>
      <c r="Y101">
        <v>735.92</v>
      </c>
      <c r="Z101">
        <v>940.27300000000002</v>
      </c>
      <c r="AA101">
        <v>718.80399999999997</v>
      </c>
      <c r="AD101">
        <v>332.73599999999999</v>
      </c>
      <c r="AE101">
        <v>333.17599999999999</v>
      </c>
      <c r="AF101">
        <v>718.85199999999998</v>
      </c>
      <c r="AG101">
        <v>742.83100000000002</v>
      </c>
      <c r="AH101">
        <v>709.38599999999997</v>
      </c>
      <c r="AK101">
        <v>352.22399999999999</v>
      </c>
      <c r="AL101">
        <v>334.92700000000002</v>
      </c>
      <c r="AM101">
        <v>697.61800000000005</v>
      </c>
      <c r="AN101">
        <v>770.25699999999995</v>
      </c>
      <c r="AO101">
        <v>723.41600000000005</v>
      </c>
    </row>
    <row r="102" spans="1:41">
      <c r="A102">
        <v>100</v>
      </c>
      <c r="B102" s="47">
        <v>593.95000000000005</v>
      </c>
      <c r="C102" s="47">
        <v>624.50700000000006</v>
      </c>
      <c r="D102" s="47">
        <v>605.40099999999995</v>
      </c>
      <c r="E102" s="47">
        <v>599.20399999999995</v>
      </c>
      <c r="F102" s="47">
        <v>596.91000000000008</v>
      </c>
      <c r="G102" s="14"/>
      <c r="H102" s="14"/>
      <c r="I102" s="47">
        <v>581.22699999999998</v>
      </c>
      <c r="J102" s="47">
        <v>608.75800000000004</v>
      </c>
      <c r="K102" s="47">
        <v>582.50199999999995</v>
      </c>
      <c r="L102" s="47">
        <v>582.89199999999994</v>
      </c>
      <c r="M102" s="47">
        <v>583.05099999999993</v>
      </c>
      <c r="N102" s="14"/>
      <c r="O102" s="14"/>
      <c r="P102" s="47">
        <v>632.02</v>
      </c>
      <c r="Q102" s="47">
        <v>589.85799999999995</v>
      </c>
      <c r="R102" s="47">
        <v>595.42499999999995</v>
      </c>
      <c r="S102" s="47">
        <v>594.15800000000002</v>
      </c>
      <c r="T102" s="47">
        <v>616.85699999999997</v>
      </c>
      <c r="U102" s="1"/>
      <c r="W102" s="16">
        <v>344.86200000000002</v>
      </c>
      <c r="X102" s="16">
        <v>335.23899999999998</v>
      </c>
      <c r="Y102" s="16">
        <v>713.47799999999995</v>
      </c>
      <c r="Z102" s="16">
        <v>949.226</v>
      </c>
      <c r="AA102" s="16">
        <v>781.66499999999996</v>
      </c>
      <c r="AD102" s="16">
        <v>326.11</v>
      </c>
      <c r="AE102" s="16">
        <v>352.53300000000002</v>
      </c>
      <c r="AF102" s="16">
        <v>750.77200000000005</v>
      </c>
      <c r="AG102" s="16">
        <v>748.47</v>
      </c>
      <c r="AH102" s="16">
        <v>752.096</v>
      </c>
      <c r="AK102" s="16">
        <v>331.31</v>
      </c>
      <c r="AL102" s="16">
        <v>327.74099999999999</v>
      </c>
      <c r="AM102" s="16">
        <v>696.6</v>
      </c>
      <c r="AN102" s="16">
        <v>762.67600000000004</v>
      </c>
      <c r="AO102" s="16">
        <v>715.529</v>
      </c>
    </row>
    <row r="105" spans="1:41" ht="16" thickBot="1">
      <c r="A105" s="26" t="s">
        <v>24</v>
      </c>
      <c r="B105" s="27" t="s">
        <v>0</v>
      </c>
      <c r="C105" s="27" t="s">
        <v>1</v>
      </c>
      <c r="D105" s="28" t="s">
        <v>2</v>
      </c>
      <c r="E105" s="28" t="s">
        <v>3</v>
      </c>
      <c r="F105" s="29" t="s">
        <v>4</v>
      </c>
      <c r="G105" s="24"/>
      <c r="H105" s="26" t="s">
        <v>24</v>
      </c>
      <c r="I105" s="26" t="s">
        <v>0</v>
      </c>
      <c r="J105" s="26" t="s">
        <v>1</v>
      </c>
      <c r="K105" s="30" t="s">
        <v>2</v>
      </c>
      <c r="L105" s="30" t="s">
        <v>3</v>
      </c>
      <c r="M105" s="31" t="s">
        <v>4</v>
      </c>
      <c r="N105" s="23"/>
      <c r="O105" s="26" t="s">
        <v>24</v>
      </c>
      <c r="P105" s="26" t="s">
        <v>0</v>
      </c>
      <c r="Q105" s="26" t="s">
        <v>1</v>
      </c>
      <c r="R105" s="30" t="s">
        <v>2</v>
      </c>
      <c r="S105" s="30" t="s">
        <v>3</v>
      </c>
      <c r="T105" s="31" t="s">
        <v>4</v>
      </c>
      <c r="U105" s="23"/>
      <c r="V105" s="26" t="s">
        <v>24</v>
      </c>
      <c r="W105" s="26" t="s">
        <v>0</v>
      </c>
      <c r="X105" s="26" t="s">
        <v>1</v>
      </c>
      <c r="Y105" s="30" t="s">
        <v>2</v>
      </c>
      <c r="Z105" s="30" t="s">
        <v>3</v>
      </c>
      <c r="AA105" s="31" t="s">
        <v>4</v>
      </c>
      <c r="AB105" s="23"/>
      <c r="AC105" s="26" t="s">
        <v>24</v>
      </c>
      <c r="AD105" s="26" t="s">
        <v>0</v>
      </c>
      <c r="AE105" s="26" t="s">
        <v>1</v>
      </c>
      <c r="AF105" s="30" t="s">
        <v>2</v>
      </c>
      <c r="AG105" s="30" t="s">
        <v>3</v>
      </c>
      <c r="AH105" s="31" t="s">
        <v>4</v>
      </c>
      <c r="AI105" s="23"/>
      <c r="AJ105" s="26" t="s">
        <v>24</v>
      </c>
      <c r="AK105" s="26" t="s">
        <v>0</v>
      </c>
      <c r="AL105" s="26" t="s">
        <v>1</v>
      </c>
      <c r="AM105" s="30" t="s">
        <v>2</v>
      </c>
      <c r="AN105" s="30" t="s">
        <v>3</v>
      </c>
      <c r="AO105" s="31" t="s">
        <v>4</v>
      </c>
    </row>
    <row r="106" spans="1:41" ht="16" thickTop="1">
      <c r="A106" t="s">
        <v>101</v>
      </c>
      <c r="B106" s="25">
        <f>AVERAGE(Encrypt16x32[ECB])</f>
        <v>608.40352000000007</v>
      </c>
      <c r="C106" s="25">
        <f>AVERAGE(Encrypt16x32[CBC])</f>
        <v>607.71478999999988</v>
      </c>
      <c r="D106" s="25">
        <f>AVERAGE(Encrypt16x32[OFB])</f>
        <v>606.42534000000001</v>
      </c>
      <c r="E106" s="25">
        <f>AVERAGE(Encrypt16x32[CFB])</f>
        <v>607.62368000000004</v>
      </c>
      <c r="F106" s="25">
        <f>AVERAGE(Encrypt16x32[CTR])</f>
        <v>604.31408999999996</v>
      </c>
      <c r="G106" s="23"/>
      <c r="H106" t="s">
        <v>101</v>
      </c>
      <c r="I106" s="25">
        <f>AVERAGE(Encrypt24x32[ECB])</f>
        <v>591.50602000000003</v>
      </c>
      <c r="J106" s="25">
        <f>AVERAGE(Encrypt24x32[CBC])</f>
        <v>591.02666000000022</v>
      </c>
      <c r="K106" s="25">
        <f>AVERAGE(Encrypt24x32[OFB])</f>
        <v>591.10142999999994</v>
      </c>
      <c r="L106" s="25">
        <f>AVERAGE(Encrypt24x32[CFB])</f>
        <v>592.86342000000002</v>
      </c>
      <c r="M106" s="25">
        <f>AVERAGE(Encrypt24x32[CTR])</f>
        <v>590.49072000000001</v>
      </c>
      <c r="N106" s="23"/>
      <c r="O106" t="s">
        <v>101</v>
      </c>
      <c r="P106" s="25">
        <f>AVERAGE(Encrypt32x32[ECB])</f>
        <v>600.46119999999974</v>
      </c>
      <c r="Q106" s="25">
        <f>AVERAGE(Encrypt32x32[CBC])</f>
        <v>603.17783999999961</v>
      </c>
      <c r="R106" s="25">
        <f>AVERAGE(Encrypt32x32[OFB])</f>
        <v>604.96233999999993</v>
      </c>
      <c r="S106" s="25">
        <f>AVERAGE(Encrypt32x32[CFB])</f>
        <v>605.50594000000001</v>
      </c>
      <c r="T106" s="25">
        <f>AVERAGE(Encrypt32x32[CTR])</f>
        <v>600.7803399999998</v>
      </c>
      <c r="U106" s="23"/>
      <c r="V106" t="s">
        <v>101</v>
      </c>
      <c r="W106" s="25">
        <f>AVERAGE(Decrypt16x32[ECB])</f>
        <v>350.32823000000002</v>
      </c>
      <c r="X106" s="25">
        <f>AVERAGE(Decrypt16x32[CBC])</f>
        <v>371.24275</v>
      </c>
      <c r="Y106" s="25">
        <f>AVERAGE(Decrypt16x32[OFB])</f>
        <v>779.07748000000004</v>
      </c>
      <c r="Z106" s="25">
        <f>AVERAGE(Decrypt16x32[CFB])</f>
        <v>1027.2411400000001</v>
      </c>
      <c r="AA106" s="25">
        <f>AVERAGE(Decrypt16x32[CTR])</f>
        <v>784.01287000000025</v>
      </c>
      <c r="AB106" s="23"/>
      <c r="AC106" t="s">
        <v>101</v>
      </c>
      <c r="AD106" s="25">
        <f>AVERAGE(Decrypt24x32[ECB])</f>
        <v>356.35649999999993</v>
      </c>
      <c r="AE106" s="25">
        <f>AVERAGE(Decrypt24x32[CBC])</f>
        <v>355.06464</v>
      </c>
      <c r="AF106" s="25">
        <f>AVERAGE(Decrypt24x32[OFB])</f>
        <v>753.76609999999982</v>
      </c>
      <c r="AG106" s="25">
        <f>AVERAGE(Decrypt24x32[CFB])</f>
        <v>795.59422999999992</v>
      </c>
      <c r="AH106" s="25">
        <f>AVERAGE(Decrypt24x32[CTR])</f>
        <v>764.77648999999951</v>
      </c>
      <c r="AI106" s="23"/>
      <c r="AJ106" t="s">
        <v>101</v>
      </c>
      <c r="AK106" s="25">
        <f>AVERAGE(Decrypt32x32[ECB])</f>
        <v>361.75540000000001</v>
      </c>
      <c r="AL106" s="25">
        <f>AVERAGE(Decrypt32x32[CBC])</f>
        <v>356.05535999999995</v>
      </c>
      <c r="AM106" s="25">
        <f>AVERAGE(Decrypt32x32[OFB])</f>
        <v>753.73851999999988</v>
      </c>
      <c r="AN106" s="25">
        <f>AVERAGE(Decrypt32x32[CFB])</f>
        <v>795.13630000000023</v>
      </c>
      <c r="AO106" s="25">
        <f>AVERAGE(Decrypt32x32[CTR])</f>
        <v>770.82877999999994</v>
      </c>
    </row>
    <row r="107" spans="1:41">
      <c r="A107" t="s">
        <v>9</v>
      </c>
      <c r="B107" s="25">
        <f>MIN(Encrypt16x32[ECB])</f>
        <v>580.56299999999999</v>
      </c>
      <c r="C107" s="25">
        <f>MIN(Encrypt16x32[CBC])</f>
        <v>582.45800000000008</v>
      </c>
      <c r="D107" s="25">
        <f>MIN(Encrypt16x32[OFB])</f>
        <v>584.78300000000002</v>
      </c>
      <c r="E107" s="25">
        <f>MIN(Encrypt16x32[CFB])</f>
        <v>587.12900000000002</v>
      </c>
      <c r="F107" s="25">
        <f>MIN(Encrypt16x32[CTR])</f>
        <v>582.32399999999996</v>
      </c>
      <c r="G107" s="23"/>
      <c r="H107" t="s">
        <v>9</v>
      </c>
      <c r="I107" s="25">
        <f>MIN(Encrypt24x32[ECB])</f>
        <v>580.42399999999998</v>
      </c>
      <c r="J107" s="25">
        <f>MIN(Encrypt24x32[CBC])</f>
        <v>581.197</v>
      </c>
      <c r="K107" s="25">
        <f>MIN(Encrypt24x32[OFB])</f>
        <v>580.62699999999995</v>
      </c>
      <c r="L107" s="25">
        <f>MIN(Encrypt24x32[CFB])</f>
        <v>581.399</v>
      </c>
      <c r="M107" s="25">
        <f>MIN(Encrypt24x32[CTR])</f>
        <v>579.42099999999994</v>
      </c>
      <c r="N107" s="23"/>
      <c r="O107" t="s">
        <v>9</v>
      </c>
      <c r="P107" s="25">
        <f>MIN(Encrypt32x32[ECB])</f>
        <v>588.26900000000001</v>
      </c>
      <c r="Q107" s="25">
        <f>MIN(Encrypt32x32[CBC])</f>
        <v>587.96</v>
      </c>
      <c r="R107" s="25">
        <f>MIN(Encrypt32x32[OFB])</f>
        <v>590.41500000000008</v>
      </c>
      <c r="S107" s="25">
        <f>MIN(Encrypt32x32[CFB])</f>
        <v>591.53100000000006</v>
      </c>
      <c r="T107" s="25">
        <f>MIN(Encrypt32x32[CTR])</f>
        <v>586.55500000000006</v>
      </c>
      <c r="U107" s="23"/>
      <c r="V107" t="s">
        <v>9</v>
      </c>
      <c r="W107" s="25">
        <f>MIN(Decrypt16x32[ECB])</f>
        <v>317.73899999999998</v>
      </c>
      <c r="X107" s="25">
        <f>MIN(Decrypt16x32[CBC])</f>
        <v>316.416</v>
      </c>
      <c r="Y107" s="25">
        <f>MIN(Decrypt16x32[OFB])</f>
        <v>705.91200000000003</v>
      </c>
      <c r="Z107" s="25">
        <f>MIN(Decrypt16x32[CFB])</f>
        <v>939.601</v>
      </c>
      <c r="AA107" s="25">
        <f>MIN(Decrypt16x32[CTR])</f>
        <v>716.91700000000003</v>
      </c>
      <c r="AB107" s="23"/>
      <c r="AC107" t="s">
        <v>9</v>
      </c>
      <c r="AD107" s="25">
        <f>MIN(Decrypt24x32[ECB])</f>
        <v>320.31299999999999</v>
      </c>
      <c r="AE107" s="25">
        <f>MIN(Decrypt24x32[CBC])</f>
        <v>326.17399999999998</v>
      </c>
      <c r="AF107" s="25">
        <f>MIN(Decrypt24x32[OFB])</f>
        <v>687.13599999999997</v>
      </c>
      <c r="AG107" s="25">
        <f>MIN(Decrypt24x32[CFB])</f>
        <v>730.33600000000001</v>
      </c>
      <c r="AH107" s="25">
        <f>MIN(Decrypt24x32[CTR])</f>
        <v>698.52</v>
      </c>
      <c r="AI107" s="23"/>
      <c r="AJ107" t="s">
        <v>9</v>
      </c>
      <c r="AK107" s="25">
        <f>MIN(Decrypt32x32[ECB])</f>
        <v>330.79500000000002</v>
      </c>
      <c r="AL107" s="25">
        <f>MIN(Decrypt32x32[CBC])</f>
        <v>326.92599999999999</v>
      </c>
      <c r="AM107" s="25">
        <f>MIN(Decrypt32x32[OFB])</f>
        <v>694.51099999999997</v>
      </c>
      <c r="AN107" s="25">
        <f>MIN(Decrypt32x32[CFB])</f>
        <v>735.66</v>
      </c>
      <c r="AO107" s="25">
        <f>MIN(Decrypt32x32[CTR])</f>
        <v>707.04</v>
      </c>
    </row>
    <row r="108" spans="1:41">
      <c r="A108" t="s">
        <v>10</v>
      </c>
      <c r="B108" s="25">
        <f>MAX(Encrypt16x32[ECB])</f>
        <v>701.77</v>
      </c>
      <c r="C108" s="25">
        <f>MAX(Encrypt16x32[CBC])</f>
        <v>701.57999999999993</v>
      </c>
      <c r="D108" s="25">
        <f>MAX(Encrypt16x32[OFB])</f>
        <v>708.56600000000003</v>
      </c>
      <c r="E108" s="25">
        <f>MAX(Encrypt16x32[CFB])</f>
        <v>694.26800000000003</v>
      </c>
      <c r="F108" s="25">
        <f>MAX(Encrypt16x32[CTR])</f>
        <v>712.03099999999995</v>
      </c>
      <c r="G108" s="23"/>
      <c r="H108" t="s">
        <v>10</v>
      </c>
      <c r="I108" s="25">
        <f>MAX(Encrypt24x32[ECB])</f>
        <v>677.19299999999998</v>
      </c>
      <c r="J108" s="25">
        <f>MAX(Encrypt24x32[CBC])</f>
        <v>652.86299999999994</v>
      </c>
      <c r="K108" s="25">
        <f>MAX(Encrypt24x32[OFB])</f>
        <v>661.95299999999997</v>
      </c>
      <c r="L108" s="25">
        <f>MAX(Encrypt24x32[CFB])</f>
        <v>674.01299999999992</v>
      </c>
      <c r="M108" s="25">
        <f>MAX(Encrypt24x32[CTR])</f>
        <v>699.99900000000002</v>
      </c>
      <c r="N108" s="23"/>
      <c r="O108" t="s">
        <v>10</v>
      </c>
      <c r="P108" s="25">
        <f>MAX(Encrypt32x32[ECB])</f>
        <v>666.07299999999998</v>
      </c>
      <c r="Q108" s="25">
        <f>MAX(Encrypt32x32[CBC])</f>
        <v>772.42599999999993</v>
      </c>
      <c r="R108" s="25">
        <f>MAX(Encrypt32x32[OFB])</f>
        <v>728.7829999999999</v>
      </c>
      <c r="S108" s="25">
        <f>MAX(Encrypt32x32[CFB])</f>
        <v>780.78099999999995</v>
      </c>
      <c r="T108" s="25">
        <f>MAX(Encrypt32x32[CTR])</f>
        <v>781.29000000000008</v>
      </c>
      <c r="U108" s="23"/>
      <c r="V108" t="s">
        <v>10</v>
      </c>
      <c r="W108" s="25">
        <f>MAX(Decrypt16x32[ECB])</f>
        <v>420.62299999999999</v>
      </c>
      <c r="X108" s="25">
        <f>MAX(Decrypt16x32[CBC])</f>
        <v>452.41500000000002</v>
      </c>
      <c r="Y108" s="25">
        <f>MAX(Decrypt16x32[OFB])</f>
        <v>972.08799999999997</v>
      </c>
      <c r="Z108" s="25">
        <f>MAX(Decrypt16x32[CFB])</f>
        <v>1218.31</v>
      </c>
      <c r="AA108" s="25">
        <f>MAX(Decrypt16x32[CTR])</f>
        <v>957.846</v>
      </c>
      <c r="AB108" s="23"/>
      <c r="AC108" t="s">
        <v>10</v>
      </c>
      <c r="AD108" s="25">
        <f>MAX(Decrypt24x32[ECB])</f>
        <v>469.678</v>
      </c>
      <c r="AE108" s="25">
        <f>MAX(Decrypt24x32[CBC])</f>
        <v>538.86300000000006</v>
      </c>
      <c r="AF108" s="25">
        <f>MAX(Decrypt24x32[OFB])</f>
        <v>1381.15</v>
      </c>
      <c r="AG108" s="25">
        <f>MAX(Decrypt24x32[CFB])</f>
        <v>1150.8499999999999</v>
      </c>
      <c r="AH108" s="25">
        <f>MAX(Decrypt24x32[CTR])</f>
        <v>966.98699999999997</v>
      </c>
      <c r="AI108" s="23"/>
      <c r="AJ108" t="s">
        <v>10</v>
      </c>
      <c r="AK108" s="25">
        <f>MAX(Decrypt32x32[ECB])</f>
        <v>505.67200000000003</v>
      </c>
      <c r="AL108" s="25">
        <f>MAX(Decrypt32x32[CBC])</f>
        <v>469.15800000000002</v>
      </c>
      <c r="AM108" s="25">
        <f>MAX(Decrypt32x32[OFB])</f>
        <v>1072.6600000000001</v>
      </c>
      <c r="AN108" s="25">
        <f>MAX(Decrypt32x32[CFB])</f>
        <v>1070.53</v>
      </c>
      <c r="AO108" s="25">
        <f>MAX(Decrypt32x32[CTR])</f>
        <v>1093.83</v>
      </c>
    </row>
    <row r="109" spans="1:41">
      <c r="A109" t="s">
        <v>8</v>
      </c>
      <c r="B109" s="25">
        <f>MEDIAN(Encrypt16x32[ECB])</f>
        <v>600.15499999999997</v>
      </c>
      <c r="C109" s="25">
        <f>MEDIAN(Encrypt16x32[CBC])</f>
        <v>601.18200000000002</v>
      </c>
      <c r="D109" s="25">
        <f>MEDIAN(Encrypt16x32[OFB])</f>
        <v>598.8605</v>
      </c>
      <c r="E109" s="25">
        <f>MEDIAN(Encrypt16x32[CFB])</f>
        <v>600.56499999999994</v>
      </c>
      <c r="F109" s="25">
        <f>MEDIAN(Encrypt16x32[CTR])</f>
        <v>598.82550000000003</v>
      </c>
      <c r="G109" s="23"/>
      <c r="H109" t="s">
        <v>8</v>
      </c>
      <c r="I109" s="25">
        <f>MEDIAN(Encrypt24x32[ECB])</f>
        <v>583.22299999999996</v>
      </c>
      <c r="J109" s="25">
        <f>MEDIAN(Encrypt24x32[CBC])</f>
        <v>584.16949999999997</v>
      </c>
      <c r="K109" s="25">
        <f>MEDIAN(Encrypt24x32[OFB])</f>
        <v>583.8900000000001</v>
      </c>
      <c r="L109" s="25">
        <f>MEDIAN(Encrypt24x32[CFB])</f>
        <v>584.32950000000005</v>
      </c>
      <c r="M109" s="25">
        <f>MEDIAN(Encrypt24x32[CTR])</f>
        <v>583.1825</v>
      </c>
      <c r="N109" s="23"/>
      <c r="O109" t="s">
        <v>8</v>
      </c>
      <c r="P109" s="25">
        <f>MEDIAN(Encrypt32x32[ECB])</f>
        <v>592.26150000000007</v>
      </c>
      <c r="Q109" s="25">
        <f>MEDIAN(Encrypt32x32[CBC])</f>
        <v>591.98400000000004</v>
      </c>
      <c r="R109" s="25">
        <f>MEDIAN(Encrypt32x32[OFB])</f>
        <v>595.03650000000005</v>
      </c>
      <c r="S109" s="25">
        <f>MEDIAN(Encrypt32x32[CFB])</f>
        <v>595.25150000000008</v>
      </c>
      <c r="T109" s="25">
        <f>MEDIAN(Encrypt32x32[CTR])</f>
        <v>590.82249999999999</v>
      </c>
      <c r="U109" s="23"/>
      <c r="V109" t="s">
        <v>8</v>
      </c>
      <c r="W109" s="25">
        <f>MEDIAN(Decrypt16x32[ECB])</f>
        <v>341.97300000000001</v>
      </c>
      <c r="X109" s="25">
        <f>MEDIAN(Decrypt16x32[CBC])</f>
        <v>361.887</v>
      </c>
      <c r="Y109" s="25">
        <f>MEDIAN(Decrypt16x32[OFB])</f>
        <v>771.86400000000003</v>
      </c>
      <c r="Z109" s="25">
        <f>MEDIAN(Decrypt16x32[CFB])</f>
        <v>1011.89</v>
      </c>
      <c r="AA109" s="25">
        <f>MEDIAN(Decrypt16x32[CTR])</f>
        <v>768.05</v>
      </c>
      <c r="AB109" s="23"/>
      <c r="AC109" t="s">
        <v>8</v>
      </c>
      <c r="AD109" s="25">
        <f>MEDIAN(Decrypt24x32[ECB])</f>
        <v>344.21800000000002</v>
      </c>
      <c r="AE109" s="25">
        <f>MEDIAN(Decrypt24x32[CBC])</f>
        <v>346.00799999999998</v>
      </c>
      <c r="AF109" s="25">
        <f>MEDIAN(Decrypt24x32[OFB])</f>
        <v>733.75299999999993</v>
      </c>
      <c r="AG109" s="25">
        <f>MEDIAN(Decrypt24x32[CFB])</f>
        <v>779.39750000000004</v>
      </c>
      <c r="AH109" s="25">
        <f>MEDIAN(Decrypt24x32[CTR])</f>
        <v>751.2</v>
      </c>
      <c r="AI109" s="23"/>
      <c r="AJ109" t="s">
        <v>8</v>
      </c>
      <c r="AK109" s="25">
        <f>MEDIAN(Decrypt32x32[ECB])</f>
        <v>351.24400000000003</v>
      </c>
      <c r="AL109" s="25">
        <f>MEDIAN(Decrypt32x32[CBC])</f>
        <v>344.70799999999997</v>
      </c>
      <c r="AM109" s="25">
        <f>MEDIAN(Decrypt32x32[OFB])</f>
        <v>730.149</v>
      </c>
      <c r="AN109" s="25">
        <f>MEDIAN(Decrypt32x32[CFB])</f>
        <v>771.58899999999994</v>
      </c>
      <c r="AO109" s="25">
        <f>MEDIAN(Decrypt32x32[CTR])</f>
        <v>741.85300000000007</v>
      </c>
    </row>
    <row r="110" spans="1:41">
      <c r="A110" s="16" t="s">
        <v>92</v>
      </c>
      <c r="B110" s="48">
        <f>5000/B106</f>
        <v>8.2182299011024771</v>
      </c>
      <c r="C110" s="48">
        <f t="shared" ref="C110:F110" si="0">5000/C106</f>
        <v>8.2275437133922651</v>
      </c>
      <c r="D110" s="48">
        <f t="shared" si="0"/>
        <v>8.2450380454088545</v>
      </c>
      <c r="E110" s="48">
        <f t="shared" si="0"/>
        <v>8.228777390637573</v>
      </c>
      <c r="F110" s="48">
        <f t="shared" si="0"/>
        <v>8.2738431599369129</v>
      </c>
      <c r="H110" s="16" t="s">
        <v>92</v>
      </c>
      <c r="I110" s="48">
        <f>5000/I106</f>
        <v>8.4529993456364139</v>
      </c>
      <c r="J110" s="48">
        <f t="shared" ref="J110:M110" si="1">5000/J106</f>
        <v>8.4598552627050658</v>
      </c>
      <c r="K110" s="48">
        <f t="shared" si="1"/>
        <v>8.4587851529981926</v>
      </c>
      <c r="L110" s="48">
        <f t="shared" si="1"/>
        <v>8.4336456447253898</v>
      </c>
      <c r="M110" s="48">
        <f t="shared" si="1"/>
        <v>8.4675335795285651</v>
      </c>
      <c r="O110" s="16" t="s">
        <v>92</v>
      </c>
      <c r="P110" s="48">
        <f>5000/P106</f>
        <v>8.326932697733012</v>
      </c>
      <c r="Q110" s="48">
        <f t="shared" ref="Q110:T110" si="2">5000/Q106</f>
        <v>8.2894292005157268</v>
      </c>
      <c r="R110" s="48">
        <f t="shared" si="2"/>
        <v>8.2649772876771141</v>
      </c>
      <c r="S110" s="48">
        <f t="shared" si="2"/>
        <v>8.2575573081908988</v>
      </c>
      <c r="T110" s="48">
        <f t="shared" si="2"/>
        <v>8.3225093550830938</v>
      </c>
      <c r="V110" s="16" t="s">
        <v>92</v>
      </c>
      <c r="W110" s="48">
        <f>5000/W106</f>
        <v>14.272329694926382</v>
      </c>
      <c r="X110" s="48">
        <f t="shared" ref="X110:AA110" si="3">5000/X106</f>
        <v>13.468276484860647</v>
      </c>
      <c r="Y110" s="48">
        <f t="shared" si="3"/>
        <v>6.4178469129925304</v>
      </c>
      <c r="Z110" s="48">
        <f t="shared" si="3"/>
        <v>4.8674063034508137</v>
      </c>
      <c r="AA110" s="48">
        <f t="shared" si="3"/>
        <v>6.377446329420585</v>
      </c>
      <c r="AC110" s="16" t="s">
        <v>92</v>
      </c>
      <c r="AD110" s="48">
        <f>5000/AD106</f>
        <v>14.030893220693326</v>
      </c>
      <c r="AE110" s="48">
        <f t="shared" ref="AE110:AH110" si="4">5000/AE106</f>
        <v>14.081942938615347</v>
      </c>
      <c r="AF110" s="48">
        <f t="shared" si="4"/>
        <v>6.6333574831768116</v>
      </c>
      <c r="AG110" s="48">
        <f t="shared" si="4"/>
        <v>6.2846106865304945</v>
      </c>
      <c r="AH110" s="48">
        <f t="shared" si="4"/>
        <v>6.5378578779271876</v>
      </c>
      <c r="AJ110" s="16" t="s">
        <v>92</v>
      </c>
      <c r="AK110" s="48">
        <f>5000/AK106</f>
        <v>13.821493749644096</v>
      </c>
      <c r="AL110" s="48">
        <f t="shared" ref="AL110:AO110" si="5">5000/AL106</f>
        <v>14.042760092138483</v>
      </c>
      <c r="AM110" s="48">
        <f t="shared" si="5"/>
        <v>6.6336002039540194</v>
      </c>
      <c r="AN110" s="48">
        <f t="shared" si="5"/>
        <v>6.288230080805012</v>
      </c>
      <c r="AO110" s="48">
        <f t="shared" si="5"/>
        <v>6.4865248025638076</v>
      </c>
    </row>
    <row r="113" spans="3:20">
      <c r="C113" s="14"/>
      <c r="D113" s="14"/>
      <c r="E113" s="14"/>
      <c r="F113" s="14"/>
      <c r="J113" s="14"/>
      <c r="K113" s="14"/>
      <c r="L113" s="14"/>
      <c r="M113" s="14"/>
      <c r="Q113" s="14"/>
      <c r="R113" s="14"/>
      <c r="S113" s="14"/>
      <c r="T113" s="14"/>
    </row>
    <row r="114" spans="3:20">
      <c r="C114" s="14"/>
      <c r="D114" s="14"/>
      <c r="E114" s="14"/>
      <c r="F114" s="14"/>
      <c r="J114" s="14"/>
      <c r="K114" s="14"/>
      <c r="L114" s="14"/>
      <c r="M114" s="14"/>
      <c r="Q114" s="14"/>
      <c r="R114" s="14"/>
      <c r="S114" s="14"/>
      <c r="T114" s="14"/>
    </row>
    <row r="115" spans="3:20">
      <c r="C115" s="14"/>
      <c r="D115" s="14"/>
      <c r="E115" s="14"/>
      <c r="F115" s="14"/>
      <c r="J115" s="14"/>
      <c r="K115" s="14"/>
      <c r="L115" s="14"/>
      <c r="M115" s="14"/>
      <c r="Q115" s="14"/>
      <c r="R115" s="14"/>
      <c r="S115" s="14"/>
      <c r="T115" s="14"/>
    </row>
    <row r="116" spans="3:20">
      <c r="C116" s="14"/>
      <c r="D116" s="14"/>
      <c r="E116" s="14"/>
      <c r="F116" s="14"/>
      <c r="J116" s="14"/>
      <c r="K116" s="14"/>
      <c r="L116" s="14"/>
      <c r="M116" s="14"/>
      <c r="Q116" s="14"/>
      <c r="R116" s="14"/>
      <c r="S116" s="14"/>
      <c r="T116" s="14"/>
    </row>
    <row r="117" spans="3:20">
      <c r="C117" s="14"/>
      <c r="D117" s="14"/>
      <c r="E117" s="14"/>
      <c r="F117" s="14"/>
      <c r="J117" s="14"/>
      <c r="K117" s="14"/>
      <c r="L117" s="14"/>
      <c r="M117" s="14"/>
      <c r="Q117" s="14"/>
      <c r="R117" s="14"/>
      <c r="S117" s="14"/>
      <c r="T117" s="14"/>
    </row>
    <row r="118" spans="3:20">
      <c r="C118" s="14"/>
      <c r="D118" s="14"/>
      <c r="E118" s="14"/>
      <c r="F118" s="14"/>
      <c r="J118" s="14"/>
      <c r="K118" s="14"/>
      <c r="L118" s="14"/>
      <c r="M118" s="14"/>
      <c r="Q118" s="14"/>
      <c r="R118" s="14"/>
      <c r="S118" s="14"/>
      <c r="T118" s="14"/>
    </row>
    <row r="119" spans="3:20">
      <c r="C119" s="14"/>
      <c r="D119" s="14"/>
      <c r="E119" s="14"/>
      <c r="F119" s="14"/>
      <c r="J119" s="14"/>
      <c r="K119" s="14"/>
      <c r="L119" s="14"/>
      <c r="M119" s="14"/>
      <c r="Q119" s="14"/>
      <c r="R119" s="14"/>
      <c r="S119" s="14"/>
      <c r="T119" s="14"/>
    </row>
    <row r="120" spans="3:20">
      <c r="C120" s="14"/>
      <c r="D120" s="14"/>
      <c r="E120" s="14"/>
      <c r="F120" s="14"/>
      <c r="J120" s="14"/>
      <c r="K120" s="14"/>
      <c r="L120" s="14"/>
      <c r="M120" s="14"/>
      <c r="Q120" s="14"/>
      <c r="R120" s="14"/>
      <c r="S120" s="14"/>
      <c r="T120" s="14"/>
    </row>
    <row r="121" spans="3:20">
      <c r="C121" s="14"/>
      <c r="D121" s="14"/>
      <c r="E121" s="14"/>
      <c r="F121" s="14"/>
      <c r="J121" s="14"/>
      <c r="K121" s="14"/>
      <c r="L121" s="14"/>
      <c r="M121" s="14"/>
      <c r="Q121" s="14"/>
      <c r="R121" s="14"/>
      <c r="S121" s="14"/>
      <c r="T121" s="14"/>
    </row>
    <row r="122" spans="3:20">
      <c r="C122" s="14"/>
      <c r="D122" s="14"/>
      <c r="E122" s="14"/>
      <c r="F122" s="14"/>
      <c r="J122" s="14"/>
      <c r="K122" s="14"/>
      <c r="L122" s="14"/>
      <c r="M122" s="14"/>
      <c r="Q122" s="14"/>
      <c r="R122" s="14"/>
      <c r="S122" s="14"/>
      <c r="T122" s="14"/>
    </row>
    <row r="123" spans="3:20">
      <c r="C123" s="14"/>
      <c r="D123" s="14"/>
      <c r="E123" s="14"/>
      <c r="F123" s="14"/>
      <c r="J123" s="14"/>
      <c r="K123" s="14"/>
      <c r="L123" s="14"/>
      <c r="M123" s="14"/>
      <c r="Q123" s="14"/>
      <c r="R123" s="14"/>
      <c r="S123" s="14"/>
      <c r="T123" s="14"/>
    </row>
    <row r="124" spans="3:20">
      <c r="C124" s="14"/>
      <c r="D124" s="14"/>
      <c r="E124" s="14"/>
      <c r="F124" s="14"/>
      <c r="J124" s="14"/>
      <c r="K124" s="14"/>
      <c r="L124" s="14"/>
      <c r="M124" s="14"/>
      <c r="Q124" s="14"/>
      <c r="R124" s="14"/>
      <c r="S124" s="14"/>
      <c r="T124" s="14"/>
    </row>
    <row r="125" spans="3:20">
      <c r="C125" s="14"/>
      <c r="D125" s="14"/>
      <c r="E125" s="14"/>
      <c r="F125" s="14"/>
      <c r="J125" s="14"/>
      <c r="K125" s="14"/>
      <c r="L125" s="14"/>
      <c r="M125" s="14"/>
      <c r="Q125" s="14"/>
      <c r="R125" s="14"/>
      <c r="S125" s="14"/>
      <c r="T125" s="14"/>
    </row>
    <row r="126" spans="3:20">
      <c r="C126" s="14"/>
      <c r="D126" s="14"/>
      <c r="E126" s="14"/>
      <c r="F126" s="14"/>
      <c r="J126" s="14"/>
      <c r="K126" s="14"/>
      <c r="L126" s="14"/>
      <c r="M126" s="14"/>
      <c r="Q126" s="14"/>
      <c r="R126" s="14"/>
      <c r="S126" s="14"/>
      <c r="T126" s="14"/>
    </row>
    <row r="127" spans="3:20">
      <c r="C127" s="14"/>
      <c r="D127" s="14"/>
      <c r="E127" s="14"/>
      <c r="F127" s="14"/>
      <c r="J127" s="14"/>
      <c r="K127" s="14"/>
      <c r="L127" s="14"/>
      <c r="M127" s="14"/>
      <c r="Q127" s="14"/>
      <c r="R127" s="14"/>
      <c r="S127" s="14"/>
      <c r="T127" s="14"/>
    </row>
    <row r="128" spans="3:20">
      <c r="C128" s="14"/>
      <c r="D128" s="14"/>
      <c r="E128" s="14"/>
      <c r="F128" s="14"/>
      <c r="J128" s="14"/>
      <c r="K128" s="14"/>
      <c r="L128" s="14"/>
      <c r="M128" s="14"/>
      <c r="Q128" s="14"/>
      <c r="R128" s="14"/>
      <c r="S128" s="14"/>
      <c r="T128" s="14"/>
    </row>
    <row r="129" spans="3:20">
      <c r="C129" s="14"/>
      <c r="D129" s="14"/>
      <c r="E129" s="14"/>
      <c r="F129" s="14"/>
      <c r="J129" s="14"/>
      <c r="K129" s="14"/>
      <c r="L129" s="14"/>
      <c r="M129" s="14"/>
      <c r="Q129" s="14"/>
      <c r="R129" s="14"/>
      <c r="S129" s="14"/>
      <c r="T129" s="14"/>
    </row>
    <row r="130" spans="3:20">
      <c r="C130" s="14"/>
      <c r="D130" s="14"/>
      <c r="E130" s="14"/>
      <c r="F130" s="14"/>
      <c r="J130" s="14"/>
      <c r="K130" s="14"/>
      <c r="L130" s="14"/>
      <c r="M130" s="14"/>
      <c r="Q130" s="14"/>
      <c r="R130" s="14"/>
      <c r="S130" s="14"/>
      <c r="T130" s="14"/>
    </row>
    <row r="131" spans="3:20">
      <c r="C131" s="14"/>
      <c r="D131" s="14"/>
      <c r="E131" s="14"/>
      <c r="F131" s="14"/>
      <c r="J131" s="14"/>
      <c r="K131" s="14"/>
      <c r="L131" s="14"/>
      <c r="M131" s="14"/>
      <c r="Q131" s="14"/>
      <c r="R131" s="14"/>
      <c r="S131" s="14"/>
      <c r="T131" s="14"/>
    </row>
    <row r="132" spans="3:20">
      <c r="C132" s="14"/>
      <c r="D132" s="14"/>
      <c r="E132" s="14"/>
      <c r="F132" s="14"/>
      <c r="J132" s="14"/>
      <c r="K132" s="14"/>
      <c r="L132" s="14"/>
      <c r="M132" s="14"/>
      <c r="Q132" s="14"/>
      <c r="R132" s="14"/>
      <c r="S132" s="14"/>
      <c r="T132" s="14"/>
    </row>
    <row r="133" spans="3:20">
      <c r="C133" s="14"/>
      <c r="D133" s="14"/>
      <c r="E133" s="14"/>
      <c r="F133" s="14"/>
      <c r="J133" s="14"/>
      <c r="K133" s="14"/>
      <c r="L133" s="14"/>
      <c r="M133" s="14"/>
      <c r="Q133" s="14"/>
      <c r="R133" s="14"/>
      <c r="S133" s="14"/>
      <c r="T133" s="14"/>
    </row>
    <row r="134" spans="3:20">
      <c r="C134" s="14"/>
      <c r="D134" s="14"/>
      <c r="E134" s="14"/>
      <c r="F134" s="14"/>
      <c r="J134" s="14"/>
      <c r="K134" s="14"/>
      <c r="L134" s="14"/>
      <c r="M134" s="14"/>
      <c r="Q134" s="14"/>
      <c r="R134" s="14"/>
      <c r="S134" s="14"/>
      <c r="T134" s="14"/>
    </row>
    <row r="135" spans="3:20">
      <c r="C135" s="14"/>
      <c r="D135" s="14"/>
      <c r="E135" s="14"/>
      <c r="F135" s="14"/>
      <c r="J135" s="14"/>
      <c r="K135" s="14"/>
      <c r="L135" s="14"/>
      <c r="M135" s="14"/>
      <c r="Q135" s="14"/>
      <c r="R135" s="14"/>
      <c r="S135" s="14"/>
      <c r="T135" s="14"/>
    </row>
    <row r="136" spans="3:20">
      <c r="C136" s="14"/>
      <c r="D136" s="14"/>
      <c r="E136" s="14"/>
      <c r="F136" s="14"/>
      <c r="J136" s="14"/>
      <c r="K136" s="14"/>
      <c r="L136" s="14"/>
      <c r="M136" s="14"/>
      <c r="Q136" s="14"/>
      <c r="R136" s="14"/>
      <c r="S136" s="14"/>
      <c r="T136" s="14"/>
    </row>
    <row r="137" spans="3:20">
      <c r="C137" s="14"/>
      <c r="D137" s="14"/>
      <c r="E137" s="14"/>
      <c r="F137" s="14"/>
      <c r="J137" s="14"/>
      <c r="K137" s="14"/>
      <c r="L137" s="14"/>
      <c r="M137" s="14"/>
      <c r="Q137" s="14"/>
      <c r="R137" s="14"/>
      <c r="S137" s="14"/>
      <c r="T137" s="14"/>
    </row>
    <row r="138" spans="3:20">
      <c r="C138" s="14"/>
      <c r="D138" s="14"/>
      <c r="E138" s="14"/>
      <c r="F138" s="14"/>
      <c r="J138" s="14"/>
      <c r="K138" s="14"/>
      <c r="L138" s="14"/>
      <c r="M138" s="14"/>
      <c r="Q138" s="14"/>
      <c r="R138" s="14"/>
      <c r="S138" s="14"/>
      <c r="T138" s="14"/>
    </row>
    <row r="139" spans="3:20">
      <c r="C139" s="14"/>
      <c r="D139" s="14"/>
      <c r="E139" s="14"/>
      <c r="F139" s="14"/>
      <c r="J139" s="14"/>
      <c r="K139" s="14"/>
      <c r="L139" s="14"/>
      <c r="M139" s="14"/>
      <c r="Q139" s="14"/>
      <c r="R139" s="14"/>
      <c r="S139" s="14"/>
      <c r="T139" s="14"/>
    </row>
    <row r="140" spans="3:20">
      <c r="C140" s="14"/>
      <c r="D140" s="14"/>
      <c r="E140" s="14"/>
      <c r="F140" s="14"/>
      <c r="J140" s="14"/>
      <c r="K140" s="14"/>
      <c r="L140" s="14"/>
      <c r="M140" s="14"/>
      <c r="Q140" s="14"/>
      <c r="R140" s="14"/>
      <c r="S140" s="14"/>
      <c r="T140" s="14"/>
    </row>
    <row r="141" spans="3:20">
      <c r="C141" s="14"/>
      <c r="D141" s="14"/>
      <c r="E141" s="14"/>
      <c r="F141" s="14"/>
      <c r="J141" s="14"/>
      <c r="K141" s="14"/>
      <c r="L141" s="14"/>
      <c r="M141" s="14"/>
      <c r="Q141" s="14"/>
      <c r="R141" s="14"/>
      <c r="S141" s="14"/>
      <c r="T141" s="14"/>
    </row>
    <row r="142" spans="3:20">
      <c r="C142" s="14"/>
      <c r="D142" s="14"/>
      <c r="E142" s="14"/>
      <c r="F142" s="14"/>
      <c r="J142" s="14"/>
      <c r="K142" s="14"/>
      <c r="L142" s="14"/>
      <c r="M142" s="14"/>
      <c r="Q142" s="14"/>
      <c r="R142" s="14"/>
      <c r="S142" s="14"/>
      <c r="T142" s="14"/>
    </row>
    <row r="143" spans="3:20">
      <c r="C143" s="14"/>
      <c r="D143" s="14"/>
      <c r="E143" s="14"/>
      <c r="F143" s="14"/>
      <c r="J143" s="14"/>
      <c r="K143" s="14"/>
      <c r="L143" s="14"/>
      <c r="M143" s="14"/>
      <c r="Q143" s="14"/>
      <c r="R143" s="14"/>
      <c r="S143" s="14"/>
      <c r="T143" s="14"/>
    </row>
    <row r="144" spans="3:20">
      <c r="C144" s="14"/>
      <c r="D144" s="14"/>
      <c r="E144" s="14"/>
      <c r="F144" s="14"/>
      <c r="J144" s="14"/>
      <c r="K144" s="14"/>
      <c r="L144" s="14"/>
      <c r="M144" s="14"/>
      <c r="Q144" s="14"/>
      <c r="R144" s="14"/>
      <c r="S144" s="14"/>
      <c r="T144" s="14"/>
    </row>
    <row r="145" spans="3:20">
      <c r="C145" s="14"/>
      <c r="D145" s="14"/>
      <c r="E145" s="14"/>
      <c r="F145" s="14"/>
      <c r="J145" s="14"/>
      <c r="K145" s="14"/>
      <c r="L145" s="14"/>
      <c r="M145" s="14"/>
      <c r="Q145" s="14"/>
      <c r="R145" s="14"/>
      <c r="S145" s="14"/>
      <c r="T145" s="14"/>
    </row>
    <row r="146" spans="3:20">
      <c r="C146" s="14"/>
      <c r="D146" s="14"/>
      <c r="E146" s="14"/>
      <c r="F146" s="14"/>
      <c r="J146" s="14"/>
      <c r="K146" s="14"/>
      <c r="L146" s="14"/>
      <c r="M146" s="14"/>
      <c r="Q146" s="14"/>
      <c r="R146" s="14"/>
      <c r="S146" s="14"/>
      <c r="T146" s="14"/>
    </row>
    <row r="147" spans="3:20">
      <c r="C147" s="14"/>
      <c r="D147" s="14"/>
      <c r="E147" s="14"/>
      <c r="F147" s="14"/>
      <c r="J147" s="14"/>
      <c r="K147" s="14"/>
      <c r="L147" s="14"/>
      <c r="M147" s="14"/>
      <c r="Q147" s="14"/>
      <c r="R147" s="14"/>
      <c r="S147" s="14"/>
      <c r="T147" s="14"/>
    </row>
    <row r="148" spans="3:20">
      <c r="C148" s="14"/>
      <c r="D148" s="14"/>
      <c r="E148" s="14"/>
      <c r="F148" s="14"/>
      <c r="J148" s="14"/>
      <c r="K148" s="14"/>
      <c r="L148" s="14"/>
      <c r="M148" s="14"/>
      <c r="Q148" s="14"/>
      <c r="R148" s="14"/>
      <c r="S148" s="14"/>
      <c r="T148" s="14"/>
    </row>
    <row r="149" spans="3:20">
      <c r="C149" s="14"/>
      <c r="D149" s="14"/>
      <c r="E149" s="14"/>
      <c r="F149" s="14"/>
      <c r="J149" s="14"/>
      <c r="K149" s="14"/>
      <c r="L149" s="14"/>
      <c r="M149" s="14"/>
      <c r="Q149" s="14"/>
      <c r="R149" s="14"/>
      <c r="S149" s="14"/>
      <c r="T149" s="14"/>
    </row>
    <row r="150" spans="3:20">
      <c r="C150" s="14"/>
      <c r="D150" s="14"/>
      <c r="E150" s="14"/>
      <c r="F150" s="14"/>
      <c r="J150" s="14"/>
      <c r="K150" s="14"/>
      <c r="L150" s="14"/>
      <c r="M150" s="14"/>
      <c r="Q150" s="14"/>
      <c r="R150" s="14"/>
      <c r="S150" s="14"/>
      <c r="T150" s="14"/>
    </row>
    <row r="151" spans="3:20">
      <c r="C151" s="14"/>
      <c r="D151" s="14"/>
      <c r="E151" s="14"/>
      <c r="F151" s="14"/>
      <c r="J151" s="14"/>
      <c r="K151" s="14"/>
      <c r="L151" s="14"/>
      <c r="M151" s="14"/>
      <c r="Q151" s="14"/>
      <c r="R151" s="14"/>
      <c r="S151" s="14"/>
      <c r="T151" s="14"/>
    </row>
    <row r="152" spans="3:20">
      <c r="C152" s="14"/>
      <c r="D152" s="14"/>
      <c r="E152" s="14"/>
      <c r="F152" s="14"/>
      <c r="J152" s="14"/>
      <c r="K152" s="14"/>
      <c r="L152" s="14"/>
      <c r="M152" s="14"/>
      <c r="Q152" s="14"/>
      <c r="R152" s="14"/>
      <c r="S152" s="14"/>
      <c r="T152" s="14"/>
    </row>
    <row r="153" spans="3:20">
      <c r="C153" s="14"/>
      <c r="D153" s="14"/>
      <c r="E153" s="14"/>
      <c r="F153" s="14"/>
      <c r="J153" s="14"/>
      <c r="K153" s="14"/>
      <c r="L153" s="14"/>
      <c r="M153" s="14"/>
      <c r="Q153" s="14"/>
      <c r="R153" s="14"/>
      <c r="S153" s="14"/>
      <c r="T153" s="14"/>
    </row>
    <row r="154" spans="3:20">
      <c r="C154" s="14"/>
      <c r="D154" s="14"/>
      <c r="E154" s="14"/>
      <c r="F154" s="14"/>
      <c r="J154" s="14"/>
      <c r="K154" s="14"/>
      <c r="L154" s="14"/>
      <c r="M154" s="14"/>
      <c r="Q154" s="14"/>
      <c r="R154" s="14"/>
      <c r="S154" s="14"/>
      <c r="T154" s="14"/>
    </row>
    <row r="155" spans="3:20">
      <c r="C155" s="14"/>
      <c r="D155" s="14"/>
      <c r="E155" s="14"/>
      <c r="F155" s="14"/>
      <c r="J155" s="14"/>
      <c r="K155" s="14"/>
      <c r="L155" s="14"/>
      <c r="M155" s="14"/>
      <c r="Q155" s="14"/>
      <c r="R155" s="14"/>
      <c r="S155" s="14"/>
      <c r="T155" s="14"/>
    </row>
    <row r="156" spans="3:20">
      <c r="C156" s="14"/>
      <c r="D156" s="14"/>
      <c r="E156" s="14"/>
      <c r="F156" s="14"/>
      <c r="J156" s="14"/>
      <c r="K156" s="14"/>
      <c r="L156" s="14"/>
      <c r="M156" s="14"/>
      <c r="Q156" s="14"/>
      <c r="R156" s="14"/>
      <c r="S156" s="14"/>
      <c r="T156" s="14"/>
    </row>
    <row r="157" spans="3:20">
      <c r="C157" s="14"/>
      <c r="D157" s="14"/>
      <c r="E157" s="14"/>
      <c r="F157" s="14"/>
      <c r="J157" s="14"/>
      <c r="K157" s="14"/>
      <c r="L157" s="14"/>
      <c r="M157" s="14"/>
      <c r="Q157" s="14"/>
      <c r="R157" s="14"/>
      <c r="S157" s="14"/>
      <c r="T157" s="14"/>
    </row>
    <row r="158" spans="3:20">
      <c r="C158" s="14"/>
      <c r="D158" s="14"/>
      <c r="E158" s="14"/>
      <c r="F158" s="14"/>
      <c r="J158" s="14"/>
      <c r="K158" s="14"/>
      <c r="L158" s="14"/>
      <c r="M158" s="14"/>
      <c r="Q158" s="14"/>
      <c r="R158" s="14"/>
      <c r="S158" s="14"/>
      <c r="T158" s="14"/>
    </row>
    <row r="159" spans="3:20">
      <c r="C159" s="14"/>
      <c r="D159" s="14"/>
      <c r="E159" s="14"/>
      <c r="F159" s="14"/>
      <c r="J159" s="14"/>
      <c r="K159" s="14"/>
      <c r="L159" s="14"/>
      <c r="M159" s="14"/>
      <c r="Q159" s="14"/>
      <c r="R159" s="14"/>
      <c r="S159" s="14"/>
      <c r="T159" s="14"/>
    </row>
    <row r="160" spans="3:20">
      <c r="C160" s="14"/>
      <c r="D160" s="14"/>
      <c r="E160" s="14"/>
      <c r="F160" s="14"/>
      <c r="J160" s="14"/>
      <c r="K160" s="14"/>
      <c r="L160" s="14"/>
      <c r="M160" s="14"/>
      <c r="Q160" s="14"/>
      <c r="R160" s="14"/>
      <c r="S160" s="14"/>
      <c r="T160" s="14"/>
    </row>
    <row r="161" spans="3:20">
      <c r="C161" s="14"/>
      <c r="D161" s="14"/>
      <c r="E161" s="14"/>
      <c r="F161" s="14"/>
      <c r="J161" s="14"/>
      <c r="K161" s="14"/>
      <c r="L161" s="14"/>
      <c r="M161" s="14"/>
      <c r="Q161" s="14"/>
      <c r="R161" s="14"/>
      <c r="S161" s="14"/>
      <c r="T161" s="14"/>
    </row>
    <row r="162" spans="3:20">
      <c r="C162" s="14"/>
      <c r="D162" s="14"/>
      <c r="E162" s="14"/>
      <c r="F162" s="14"/>
      <c r="J162" s="14"/>
      <c r="K162" s="14"/>
      <c r="L162" s="14"/>
      <c r="M162" s="14"/>
      <c r="Q162" s="14"/>
      <c r="R162" s="14"/>
      <c r="S162" s="14"/>
      <c r="T162" s="14"/>
    </row>
    <row r="163" spans="3:20">
      <c r="C163" s="14"/>
      <c r="D163" s="14"/>
      <c r="E163" s="14"/>
      <c r="F163" s="14"/>
      <c r="J163" s="14"/>
      <c r="K163" s="14"/>
      <c r="L163" s="14"/>
      <c r="M163" s="14"/>
      <c r="Q163" s="14"/>
      <c r="R163" s="14"/>
      <c r="S163" s="14"/>
      <c r="T163" s="14"/>
    </row>
    <row r="164" spans="3:20">
      <c r="C164" s="14"/>
      <c r="D164" s="14"/>
      <c r="E164" s="14"/>
      <c r="F164" s="14"/>
      <c r="J164" s="14"/>
      <c r="K164" s="14"/>
      <c r="L164" s="14"/>
      <c r="M164" s="14"/>
      <c r="Q164" s="14"/>
      <c r="R164" s="14"/>
      <c r="S164" s="14"/>
      <c r="T164" s="14"/>
    </row>
    <row r="165" spans="3:20">
      <c r="C165" s="14"/>
      <c r="D165" s="14"/>
      <c r="E165" s="14"/>
      <c r="F165" s="14"/>
      <c r="J165" s="14"/>
      <c r="K165" s="14"/>
      <c r="L165" s="14"/>
      <c r="M165" s="14"/>
      <c r="Q165" s="14"/>
      <c r="R165" s="14"/>
      <c r="S165" s="14"/>
      <c r="T165" s="14"/>
    </row>
    <row r="166" spans="3:20">
      <c r="C166" s="14"/>
      <c r="D166" s="14"/>
      <c r="E166" s="14"/>
      <c r="F166" s="14"/>
      <c r="J166" s="14"/>
      <c r="K166" s="14"/>
      <c r="L166" s="14"/>
      <c r="M166" s="14"/>
      <c r="Q166" s="14"/>
      <c r="R166" s="14"/>
      <c r="S166" s="14"/>
      <c r="T166" s="14"/>
    </row>
    <row r="167" spans="3:20">
      <c r="C167" s="14"/>
      <c r="D167" s="14"/>
      <c r="E167" s="14"/>
      <c r="F167" s="14"/>
      <c r="J167" s="14"/>
      <c r="K167" s="14"/>
      <c r="L167" s="14"/>
      <c r="M167" s="14"/>
      <c r="Q167" s="14"/>
      <c r="R167" s="14"/>
      <c r="S167" s="14"/>
      <c r="T167" s="14"/>
    </row>
    <row r="168" spans="3:20">
      <c r="C168" s="14"/>
      <c r="D168" s="14"/>
      <c r="E168" s="14"/>
      <c r="F168" s="14"/>
      <c r="J168" s="14"/>
      <c r="K168" s="14"/>
      <c r="L168" s="14"/>
      <c r="M168" s="14"/>
      <c r="Q168" s="14"/>
      <c r="R168" s="14"/>
      <c r="S168" s="14"/>
      <c r="T168" s="14"/>
    </row>
    <row r="169" spans="3:20">
      <c r="C169" s="14"/>
      <c r="D169" s="14"/>
      <c r="E169" s="14"/>
      <c r="F169" s="14"/>
      <c r="J169" s="14"/>
      <c r="K169" s="14"/>
      <c r="L169" s="14"/>
      <c r="M169" s="14"/>
      <c r="Q169" s="14"/>
      <c r="R169" s="14"/>
      <c r="S169" s="14"/>
      <c r="T169" s="14"/>
    </row>
    <row r="170" spans="3:20">
      <c r="C170" s="14"/>
      <c r="D170" s="14"/>
      <c r="E170" s="14"/>
      <c r="F170" s="14"/>
      <c r="J170" s="14"/>
      <c r="K170" s="14"/>
      <c r="L170" s="14"/>
      <c r="M170" s="14"/>
      <c r="Q170" s="14"/>
      <c r="R170" s="14"/>
      <c r="S170" s="14"/>
      <c r="T170" s="14"/>
    </row>
    <row r="171" spans="3:20">
      <c r="C171" s="14"/>
      <c r="D171" s="14"/>
      <c r="E171" s="14"/>
      <c r="F171" s="14"/>
      <c r="J171" s="14"/>
      <c r="K171" s="14"/>
      <c r="L171" s="14"/>
      <c r="M171" s="14"/>
      <c r="Q171" s="14"/>
      <c r="R171" s="14"/>
      <c r="S171" s="14"/>
      <c r="T171" s="14"/>
    </row>
    <row r="172" spans="3:20">
      <c r="C172" s="14"/>
      <c r="D172" s="14"/>
      <c r="E172" s="14"/>
      <c r="F172" s="14"/>
      <c r="J172" s="14"/>
      <c r="K172" s="14"/>
      <c r="L172" s="14"/>
      <c r="M172" s="14"/>
      <c r="Q172" s="14"/>
      <c r="R172" s="14"/>
      <c r="S172" s="14"/>
      <c r="T172" s="14"/>
    </row>
    <row r="173" spans="3:20">
      <c r="C173" s="14"/>
      <c r="D173" s="14"/>
      <c r="E173" s="14"/>
      <c r="F173" s="14"/>
      <c r="J173" s="14"/>
      <c r="K173" s="14"/>
      <c r="L173" s="14"/>
      <c r="M173" s="14"/>
      <c r="Q173" s="14"/>
      <c r="R173" s="14"/>
      <c r="S173" s="14"/>
      <c r="T173" s="14"/>
    </row>
    <row r="174" spans="3:20">
      <c r="C174" s="14"/>
      <c r="D174" s="14"/>
      <c r="E174" s="14"/>
      <c r="F174" s="14"/>
      <c r="J174" s="14"/>
      <c r="K174" s="14"/>
      <c r="L174" s="14"/>
      <c r="M174" s="14"/>
      <c r="Q174" s="14"/>
      <c r="R174" s="14"/>
      <c r="S174" s="14"/>
      <c r="T174" s="14"/>
    </row>
    <row r="175" spans="3:20">
      <c r="C175" s="14"/>
      <c r="D175" s="14"/>
      <c r="E175" s="14"/>
      <c r="F175" s="14"/>
      <c r="J175" s="14"/>
      <c r="K175" s="14"/>
      <c r="L175" s="14"/>
      <c r="M175" s="14"/>
      <c r="Q175" s="14"/>
      <c r="R175" s="14"/>
      <c r="S175" s="14"/>
      <c r="T175" s="14"/>
    </row>
    <row r="176" spans="3:20">
      <c r="C176" s="14"/>
      <c r="D176" s="14"/>
      <c r="E176" s="14"/>
      <c r="F176" s="14"/>
      <c r="J176" s="14"/>
      <c r="K176" s="14"/>
      <c r="L176" s="14"/>
      <c r="M176" s="14"/>
      <c r="Q176" s="14"/>
      <c r="R176" s="14"/>
      <c r="S176" s="14"/>
      <c r="T176" s="14"/>
    </row>
    <row r="177" spans="3:20">
      <c r="C177" s="14"/>
      <c r="D177" s="14"/>
      <c r="E177" s="14"/>
      <c r="F177" s="14"/>
      <c r="J177" s="14"/>
      <c r="K177" s="14"/>
      <c r="L177" s="14"/>
      <c r="M177" s="14"/>
      <c r="Q177" s="14"/>
      <c r="R177" s="14"/>
      <c r="S177" s="14"/>
      <c r="T177" s="14"/>
    </row>
    <row r="178" spans="3:20">
      <c r="C178" s="14"/>
      <c r="D178" s="14"/>
      <c r="E178" s="14"/>
      <c r="F178" s="14"/>
      <c r="J178" s="14"/>
      <c r="K178" s="14"/>
      <c r="L178" s="14"/>
      <c r="M178" s="14"/>
      <c r="Q178" s="14"/>
      <c r="R178" s="14"/>
      <c r="S178" s="14"/>
      <c r="T178" s="14"/>
    </row>
    <row r="179" spans="3:20">
      <c r="C179" s="14"/>
      <c r="D179" s="14"/>
      <c r="E179" s="14"/>
      <c r="F179" s="14"/>
      <c r="J179" s="14"/>
      <c r="K179" s="14"/>
      <c r="L179" s="14"/>
      <c r="M179" s="14"/>
      <c r="Q179" s="14"/>
      <c r="R179" s="14"/>
      <c r="S179" s="14"/>
      <c r="T179" s="14"/>
    </row>
    <row r="180" spans="3:20">
      <c r="C180" s="14"/>
      <c r="D180" s="14"/>
      <c r="E180" s="14"/>
      <c r="F180" s="14"/>
      <c r="J180" s="14"/>
      <c r="K180" s="14"/>
      <c r="L180" s="14"/>
      <c r="M180" s="14"/>
      <c r="Q180" s="14"/>
      <c r="R180" s="14"/>
      <c r="S180" s="14"/>
      <c r="T180" s="14"/>
    </row>
    <row r="181" spans="3:20">
      <c r="C181" s="14"/>
      <c r="D181" s="14"/>
      <c r="E181" s="14"/>
      <c r="F181" s="14"/>
      <c r="J181" s="14"/>
      <c r="K181" s="14"/>
      <c r="L181" s="14"/>
      <c r="M181" s="14"/>
      <c r="Q181" s="14"/>
      <c r="R181" s="14"/>
      <c r="S181" s="14"/>
      <c r="T181" s="14"/>
    </row>
    <row r="182" spans="3:20">
      <c r="C182" s="14"/>
      <c r="D182" s="14"/>
      <c r="E182" s="14"/>
      <c r="F182" s="14"/>
      <c r="J182" s="14"/>
      <c r="K182" s="14"/>
      <c r="L182" s="14"/>
      <c r="M182" s="14"/>
      <c r="Q182" s="14"/>
      <c r="R182" s="14"/>
      <c r="S182" s="14"/>
      <c r="T182" s="14"/>
    </row>
    <row r="183" spans="3:20">
      <c r="C183" s="14"/>
      <c r="D183" s="14"/>
      <c r="E183" s="14"/>
      <c r="F183" s="14"/>
      <c r="J183" s="14"/>
      <c r="K183" s="14"/>
      <c r="L183" s="14"/>
      <c r="M183" s="14"/>
      <c r="Q183" s="14"/>
      <c r="R183" s="14"/>
      <c r="S183" s="14"/>
      <c r="T183" s="14"/>
    </row>
    <row r="184" spans="3:20">
      <c r="C184" s="14"/>
      <c r="D184" s="14"/>
      <c r="E184" s="14"/>
      <c r="F184" s="14"/>
      <c r="J184" s="14"/>
      <c r="K184" s="14"/>
      <c r="L184" s="14"/>
      <c r="M184" s="14"/>
      <c r="Q184" s="14"/>
      <c r="R184" s="14"/>
      <c r="S184" s="14"/>
      <c r="T184" s="14"/>
    </row>
    <row r="185" spans="3:20">
      <c r="C185" s="14"/>
      <c r="D185" s="14"/>
      <c r="E185" s="14"/>
      <c r="F185" s="14"/>
      <c r="J185" s="14"/>
      <c r="K185" s="14"/>
      <c r="L185" s="14"/>
      <c r="M185" s="14"/>
      <c r="Q185" s="14"/>
      <c r="R185" s="14"/>
      <c r="S185" s="14"/>
      <c r="T185" s="14"/>
    </row>
    <row r="186" spans="3:20">
      <c r="C186" s="14"/>
      <c r="D186" s="14"/>
      <c r="E186" s="14"/>
      <c r="F186" s="14"/>
      <c r="J186" s="14"/>
      <c r="K186" s="14"/>
      <c r="L186" s="14"/>
      <c r="M186" s="14"/>
      <c r="Q186" s="14"/>
      <c r="R186" s="14"/>
      <c r="S186" s="14"/>
      <c r="T186" s="14"/>
    </row>
    <row r="187" spans="3:20">
      <c r="C187" s="14"/>
      <c r="D187" s="14"/>
      <c r="E187" s="14"/>
      <c r="F187" s="14"/>
      <c r="J187" s="14"/>
      <c r="K187" s="14"/>
      <c r="L187" s="14"/>
      <c r="M187" s="14"/>
      <c r="Q187" s="14"/>
      <c r="R187" s="14"/>
      <c r="S187" s="14"/>
      <c r="T187" s="14"/>
    </row>
    <row r="188" spans="3:20">
      <c r="C188" s="14"/>
      <c r="D188" s="14"/>
      <c r="E188" s="14"/>
      <c r="F188" s="14"/>
      <c r="J188" s="14"/>
      <c r="K188" s="14"/>
      <c r="L188" s="14"/>
      <c r="M188" s="14"/>
      <c r="Q188" s="14"/>
      <c r="R188" s="14"/>
      <c r="S188" s="14"/>
      <c r="T188" s="14"/>
    </row>
    <row r="189" spans="3:20">
      <c r="C189" s="14"/>
      <c r="D189" s="14"/>
      <c r="E189" s="14"/>
      <c r="F189" s="14"/>
      <c r="J189" s="14"/>
      <c r="K189" s="14"/>
      <c r="L189" s="14"/>
      <c r="M189" s="14"/>
      <c r="Q189" s="14"/>
      <c r="R189" s="14"/>
      <c r="S189" s="14"/>
      <c r="T189" s="14"/>
    </row>
    <row r="190" spans="3:20">
      <c r="C190" s="14"/>
      <c r="D190" s="14"/>
      <c r="E190" s="14"/>
      <c r="F190" s="14"/>
      <c r="J190" s="14"/>
      <c r="K190" s="14"/>
      <c r="L190" s="14"/>
      <c r="M190" s="14"/>
      <c r="Q190" s="14"/>
      <c r="R190" s="14"/>
      <c r="S190" s="14"/>
      <c r="T190" s="14"/>
    </row>
    <row r="191" spans="3:20">
      <c r="C191" s="14"/>
      <c r="D191" s="14"/>
      <c r="E191" s="14"/>
      <c r="F191" s="14"/>
      <c r="J191" s="14"/>
      <c r="K191" s="14"/>
      <c r="L191" s="14"/>
      <c r="M191" s="14"/>
      <c r="Q191" s="14"/>
      <c r="R191" s="14"/>
      <c r="S191" s="14"/>
      <c r="T191" s="14"/>
    </row>
    <row r="192" spans="3:20">
      <c r="C192" s="14"/>
      <c r="D192" s="14"/>
      <c r="E192" s="14"/>
      <c r="F192" s="14"/>
      <c r="J192" s="14"/>
      <c r="K192" s="14"/>
      <c r="L192" s="14"/>
      <c r="M192" s="14"/>
      <c r="Q192" s="14"/>
      <c r="R192" s="14"/>
      <c r="S192" s="14"/>
      <c r="T192" s="14"/>
    </row>
    <row r="193" spans="3:20">
      <c r="C193" s="14"/>
      <c r="D193" s="14"/>
      <c r="E193" s="14"/>
      <c r="F193" s="14"/>
      <c r="J193" s="14"/>
      <c r="K193" s="14"/>
      <c r="L193" s="14"/>
      <c r="M193" s="14"/>
      <c r="Q193" s="14"/>
      <c r="R193" s="14"/>
      <c r="S193" s="14"/>
      <c r="T193" s="14"/>
    </row>
    <row r="194" spans="3:20">
      <c r="C194" s="14"/>
      <c r="D194" s="14"/>
      <c r="E194" s="14"/>
      <c r="F194" s="14"/>
      <c r="J194" s="14"/>
      <c r="K194" s="14"/>
      <c r="L194" s="14"/>
      <c r="M194" s="14"/>
      <c r="Q194" s="14"/>
      <c r="R194" s="14"/>
      <c r="S194" s="14"/>
      <c r="T194" s="14"/>
    </row>
    <row r="195" spans="3:20">
      <c r="C195" s="14"/>
      <c r="D195" s="14"/>
      <c r="E195" s="14"/>
      <c r="F195" s="14"/>
      <c r="J195" s="14"/>
      <c r="K195" s="14"/>
      <c r="L195" s="14"/>
      <c r="M195" s="14"/>
      <c r="Q195" s="14"/>
      <c r="R195" s="14"/>
      <c r="S195" s="14"/>
      <c r="T195" s="14"/>
    </row>
    <row r="196" spans="3:20">
      <c r="C196" s="14"/>
      <c r="D196" s="14"/>
      <c r="E196" s="14"/>
      <c r="F196" s="14"/>
      <c r="J196" s="14"/>
      <c r="K196" s="14"/>
      <c r="L196" s="14"/>
      <c r="M196" s="14"/>
      <c r="Q196" s="14"/>
      <c r="R196" s="14"/>
      <c r="S196" s="14"/>
      <c r="T196" s="14"/>
    </row>
    <row r="197" spans="3:20">
      <c r="C197" s="14"/>
      <c r="D197" s="14"/>
      <c r="E197" s="14"/>
      <c r="F197" s="14"/>
      <c r="J197" s="14"/>
      <c r="K197" s="14"/>
      <c r="L197" s="14"/>
      <c r="M197" s="14"/>
      <c r="Q197" s="14"/>
      <c r="R197" s="14"/>
      <c r="S197" s="14"/>
      <c r="T197" s="14"/>
    </row>
    <row r="198" spans="3:20">
      <c r="C198" s="14"/>
      <c r="D198" s="14"/>
      <c r="E198" s="14"/>
      <c r="F198" s="14"/>
      <c r="J198" s="14"/>
      <c r="K198" s="14"/>
      <c r="L198" s="14"/>
      <c r="M198" s="14"/>
      <c r="Q198" s="14"/>
      <c r="R198" s="14"/>
      <c r="S198" s="14"/>
      <c r="T198" s="14"/>
    </row>
    <row r="199" spans="3:20">
      <c r="C199" s="14"/>
      <c r="D199" s="14"/>
      <c r="E199" s="14"/>
      <c r="F199" s="14"/>
      <c r="J199" s="14"/>
      <c r="K199" s="14"/>
      <c r="L199" s="14"/>
      <c r="M199" s="14"/>
      <c r="Q199" s="14"/>
      <c r="R199" s="14"/>
      <c r="S199" s="14"/>
      <c r="T199" s="14"/>
    </row>
    <row r="200" spans="3:20">
      <c r="C200" s="14"/>
      <c r="D200" s="14"/>
      <c r="E200" s="14"/>
      <c r="F200" s="14"/>
      <c r="J200" s="14"/>
      <c r="K200" s="14"/>
      <c r="L200" s="14"/>
      <c r="M200" s="14"/>
      <c r="Q200" s="14"/>
      <c r="R200" s="14"/>
      <c r="S200" s="14"/>
      <c r="T200" s="14"/>
    </row>
    <row r="201" spans="3:20">
      <c r="C201" s="14"/>
      <c r="D201" s="14"/>
      <c r="E201" s="14"/>
      <c r="F201" s="14"/>
      <c r="J201" s="14"/>
      <c r="K201" s="14"/>
      <c r="L201" s="14"/>
      <c r="M201" s="14"/>
      <c r="Q201" s="14"/>
      <c r="R201" s="14"/>
      <c r="S201" s="14"/>
      <c r="T201" s="14"/>
    </row>
    <row r="202" spans="3:20">
      <c r="C202" s="14"/>
      <c r="D202" s="14"/>
      <c r="E202" s="14"/>
      <c r="F202" s="14"/>
      <c r="J202" s="14"/>
      <c r="K202" s="14"/>
      <c r="L202" s="14"/>
      <c r="M202" s="14"/>
      <c r="Q202" s="14"/>
      <c r="R202" s="14"/>
      <c r="S202" s="14"/>
      <c r="T202" s="14"/>
    </row>
    <row r="203" spans="3:20">
      <c r="C203" s="14"/>
      <c r="D203" s="14"/>
      <c r="E203" s="14"/>
      <c r="F203" s="14"/>
      <c r="J203" s="14"/>
      <c r="K203" s="14"/>
      <c r="L203" s="14"/>
      <c r="M203" s="14"/>
      <c r="Q203" s="14"/>
      <c r="R203" s="14"/>
      <c r="S203" s="14"/>
      <c r="T203" s="14"/>
    </row>
    <row r="204" spans="3:20">
      <c r="C204" s="14"/>
      <c r="D204" s="14"/>
      <c r="E204" s="14"/>
      <c r="F204" s="14"/>
      <c r="J204" s="14"/>
      <c r="K204" s="14"/>
      <c r="L204" s="14"/>
      <c r="M204" s="14"/>
      <c r="Q204" s="14"/>
      <c r="R204" s="14"/>
      <c r="S204" s="14"/>
      <c r="T204" s="14"/>
    </row>
    <row r="205" spans="3:20">
      <c r="C205" s="14"/>
      <c r="D205" s="14"/>
      <c r="E205" s="14"/>
      <c r="F205" s="14"/>
      <c r="J205" s="14"/>
      <c r="K205" s="14"/>
      <c r="L205" s="14"/>
      <c r="M205" s="14"/>
      <c r="Q205" s="14"/>
      <c r="R205" s="14"/>
      <c r="S205" s="14"/>
      <c r="T205" s="14"/>
    </row>
    <row r="206" spans="3:20">
      <c r="C206" s="14"/>
      <c r="D206" s="14"/>
      <c r="E206" s="14"/>
      <c r="F206" s="14"/>
      <c r="J206" s="14"/>
      <c r="K206" s="14"/>
      <c r="L206" s="14"/>
      <c r="M206" s="14"/>
      <c r="Q206" s="14"/>
      <c r="R206" s="14"/>
      <c r="S206" s="14"/>
      <c r="T206" s="14"/>
    </row>
    <row r="207" spans="3:20">
      <c r="C207" s="14"/>
      <c r="D207" s="14"/>
      <c r="E207" s="14"/>
      <c r="F207" s="14"/>
      <c r="J207" s="14"/>
      <c r="K207" s="14"/>
      <c r="L207" s="14"/>
      <c r="M207" s="14"/>
      <c r="Q207" s="14"/>
      <c r="R207" s="14"/>
      <c r="S207" s="14"/>
      <c r="T207" s="14"/>
    </row>
    <row r="208" spans="3:20">
      <c r="C208" s="14"/>
      <c r="D208" s="14"/>
      <c r="E208" s="14"/>
      <c r="F208" s="14"/>
      <c r="J208" s="14"/>
      <c r="K208" s="14"/>
      <c r="L208" s="14"/>
      <c r="M208" s="14"/>
      <c r="Q208" s="14"/>
      <c r="R208" s="14"/>
      <c r="S208" s="14"/>
      <c r="T208" s="14"/>
    </row>
    <row r="209" spans="3:20">
      <c r="C209" s="14"/>
      <c r="D209" s="14"/>
      <c r="E209" s="14"/>
      <c r="F209" s="14"/>
      <c r="J209" s="14"/>
      <c r="K209" s="14"/>
      <c r="L209" s="14"/>
      <c r="M209" s="14"/>
      <c r="Q209" s="14"/>
      <c r="R209" s="14"/>
      <c r="S209" s="14"/>
      <c r="T209" s="14"/>
    </row>
    <row r="210" spans="3:20">
      <c r="C210" s="14"/>
      <c r="D210" s="14"/>
      <c r="E210" s="14"/>
      <c r="F210" s="14"/>
      <c r="J210" s="14"/>
      <c r="K210" s="14"/>
      <c r="L210" s="14"/>
      <c r="M210" s="14"/>
      <c r="Q210" s="14"/>
      <c r="R210" s="14"/>
      <c r="S210" s="14"/>
      <c r="T210" s="14"/>
    </row>
    <row r="211" spans="3:20">
      <c r="C211" s="14"/>
      <c r="D211" s="14"/>
      <c r="E211" s="14"/>
      <c r="F211" s="14"/>
      <c r="J211" s="14"/>
      <c r="K211" s="14"/>
      <c r="L211" s="14"/>
      <c r="M211" s="14"/>
      <c r="Q211" s="14"/>
      <c r="R211" s="14"/>
      <c r="S211" s="14"/>
      <c r="T211" s="14"/>
    </row>
    <row r="212" spans="3:20">
      <c r="C212" s="14"/>
      <c r="D212" s="14"/>
      <c r="E212" s="14"/>
      <c r="F212" s="14"/>
      <c r="J212" s="14"/>
      <c r="K212" s="14"/>
      <c r="L212" s="14"/>
      <c r="M212" s="14"/>
      <c r="Q212" s="14"/>
      <c r="R212" s="14"/>
      <c r="S212" s="14"/>
      <c r="T212" s="14"/>
    </row>
    <row r="213" spans="3:20">
      <c r="C213" s="14"/>
      <c r="D213" s="14"/>
      <c r="E213" s="14"/>
      <c r="F213" s="14"/>
    </row>
    <row r="214" spans="3:20">
      <c r="C214" s="14"/>
      <c r="D214" s="14"/>
      <c r="E214" s="14"/>
      <c r="F214" s="14"/>
    </row>
  </sheetData>
  <pageMargins left="0.75" right="0.75" top="1" bottom="1" header="0.5" footer="0.5"/>
  <pageSetup paperSize="9" orientation="portrait" horizontalDpi="4294967292" verticalDpi="4294967292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10"/>
  <sheetViews>
    <sheetView topLeftCell="O7" workbookViewId="0">
      <selection activeCell="AJ106" sqref="AJ106:AJ110"/>
    </sheetView>
  </sheetViews>
  <sheetFormatPr baseColWidth="10" defaultRowHeight="15" x14ac:dyDescent="0"/>
  <sheetData>
    <row r="1" spans="1:41">
      <c r="B1" t="s">
        <v>15</v>
      </c>
      <c r="I1" t="s">
        <v>16</v>
      </c>
      <c r="P1" t="s">
        <v>17</v>
      </c>
      <c r="W1" t="s">
        <v>18</v>
      </c>
      <c r="AD1" t="s">
        <v>19</v>
      </c>
      <c r="AK1" t="s">
        <v>20</v>
      </c>
    </row>
    <row r="2" spans="1:41">
      <c r="A2" t="s">
        <v>22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1182.73</v>
      </c>
      <c r="C3">
        <v>1188.1200000000001</v>
      </c>
      <c r="D3">
        <v>1199.5800000000002</v>
      </c>
      <c r="E3">
        <v>1182.0999999999999</v>
      </c>
      <c r="F3">
        <v>1154.3499999999999</v>
      </c>
      <c r="I3">
        <v>1270.1099999999999</v>
      </c>
      <c r="J3">
        <v>1199.83</v>
      </c>
      <c r="K3">
        <v>1168.49</v>
      </c>
      <c r="L3">
        <v>1192.44</v>
      </c>
      <c r="M3">
        <v>1169.24</v>
      </c>
      <c r="P3">
        <v>1385.54</v>
      </c>
      <c r="Q3">
        <v>1406.18</v>
      </c>
      <c r="R3">
        <v>1246.18</v>
      </c>
      <c r="S3">
        <v>1231.74</v>
      </c>
      <c r="T3">
        <v>1161.71</v>
      </c>
      <c r="W3">
        <v>641.20600000000002</v>
      </c>
      <c r="X3">
        <v>643.947</v>
      </c>
      <c r="Y3">
        <v>1441.47</v>
      </c>
      <c r="Z3">
        <v>1621.3</v>
      </c>
      <c r="AA3">
        <v>1810.52</v>
      </c>
      <c r="AD3">
        <v>786.41600000000005</v>
      </c>
      <c r="AE3">
        <v>649.68899999999996</v>
      </c>
      <c r="AF3">
        <v>1554.34</v>
      </c>
      <c r="AG3">
        <v>2325.73</v>
      </c>
      <c r="AH3">
        <v>1596.52</v>
      </c>
      <c r="AK3">
        <v>813.94899999999996</v>
      </c>
      <c r="AL3">
        <v>686.51300000000003</v>
      </c>
      <c r="AM3">
        <v>1624.56</v>
      </c>
      <c r="AN3">
        <v>1719.05</v>
      </c>
      <c r="AO3">
        <v>1618.28</v>
      </c>
    </row>
    <row r="4" spans="1:41">
      <c r="A4">
        <v>2</v>
      </c>
      <c r="B4">
        <v>1172.77</v>
      </c>
      <c r="C4">
        <v>1159.76</v>
      </c>
      <c r="D4">
        <v>1187.8399999999999</v>
      </c>
      <c r="E4">
        <v>1162.21</v>
      </c>
      <c r="F4">
        <v>1179.74</v>
      </c>
      <c r="I4">
        <v>1170.27</v>
      </c>
      <c r="J4">
        <v>1189.06</v>
      </c>
      <c r="K4">
        <v>1168.54</v>
      </c>
      <c r="L4">
        <v>1188.1200000000001</v>
      </c>
      <c r="M4">
        <v>1168.3900000000001</v>
      </c>
      <c r="P4">
        <v>1182.3499999999999</v>
      </c>
      <c r="Q4">
        <v>1156.8499999999999</v>
      </c>
      <c r="R4">
        <v>1195.55</v>
      </c>
      <c r="S4">
        <v>1165.8900000000001</v>
      </c>
      <c r="T4">
        <v>1173.1199999999999</v>
      </c>
      <c r="W4">
        <v>708.57799999999997</v>
      </c>
      <c r="X4">
        <v>961.84100000000001</v>
      </c>
      <c r="Y4">
        <v>1814.28</v>
      </c>
      <c r="Z4">
        <v>1673.32</v>
      </c>
      <c r="AA4">
        <v>1712.2</v>
      </c>
      <c r="AD4">
        <v>736.08</v>
      </c>
      <c r="AE4">
        <v>759.23099999999999</v>
      </c>
      <c r="AF4">
        <v>1692.13</v>
      </c>
      <c r="AG4">
        <v>2218.91</v>
      </c>
      <c r="AH4">
        <v>1472.34</v>
      </c>
      <c r="AK4">
        <v>855.26199999999994</v>
      </c>
      <c r="AL4">
        <v>725.48</v>
      </c>
      <c r="AM4">
        <v>1793.24</v>
      </c>
      <c r="AN4">
        <v>1904.02</v>
      </c>
      <c r="AO4">
        <v>1566.84</v>
      </c>
    </row>
    <row r="5" spans="1:41">
      <c r="A5">
        <v>3</v>
      </c>
      <c r="B5">
        <v>1154.8</v>
      </c>
      <c r="C5">
        <v>1210.98</v>
      </c>
      <c r="D5">
        <v>1220.8499999999999</v>
      </c>
      <c r="E5">
        <v>1192.78</v>
      </c>
      <c r="F5">
        <v>1155.1400000000001</v>
      </c>
      <c r="I5">
        <v>1191.6300000000001</v>
      </c>
      <c r="J5">
        <v>1165.1000000000001</v>
      </c>
      <c r="K5">
        <v>1189.9100000000001</v>
      </c>
      <c r="L5">
        <v>1166.49</v>
      </c>
      <c r="M5">
        <v>1185.8800000000001</v>
      </c>
      <c r="P5">
        <v>1159.82</v>
      </c>
      <c r="Q5">
        <v>1181.51</v>
      </c>
      <c r="R5">
        <v>1167.6299999999999</v>
      </c>
      <c r="S5">
        <v>1190.5900000000001</v>
      </c>
      <c r="T5">
        <v>1160.81</v>
      </c>
      <c r="W5">
        <v>803.96600000000001</v>
      </c>
      <c r="X5">
        <v>779.09799999999996</v>
      </c>
      <c r="Y5">
        <v>1637.44</v>
      </c>
      <c r="Z5">
        <v>1598.27</v>
      </c>
      <c r="AA5">
        <v>1516.18</v>
      </c>
      <c r="AD5">
        <v>645.85</v>
      </c>
      <c r="AE5">
        <v>703.87800000000004</v>
      </c>
      <c r="AF5">
        <v>1397.57</v>
      </c>
      <c r="AG5">
        <v>1915.44</v>
      </c>
      <c r="AH5">
        <v>1439.03</v>
      </c>
      <c r="AK5">
        <v>706.971</v>
      </c>
      <c r="AL5">
        <v>680.26400000000001</v>
      </c>
      <c r="AM5">
        <v>1458.52</v>
      </c>
      <c r="AN5">
        <v>1738.16</v>
      </c>
      <c r="AO5">
        <v>1737.86</v>
      </c>
    </row>
    <row r="6" spans="1:41">
      <c r="A6">
        <v>4</v>
      </c>
      <c r="B6">
        <v>1250.98</v>
      </c>
      <c r="C6">
        <v>1157.21</v>
      </c>
      <c r="D6">
        <v>1184.05</v>
      </c>
      <c r="E6">
        <v>1160.7</v>
      </c>
      <c r="F6">
        <v>1153.4199999999998</v>
      </c>
      <c r="I6">
        <v>1165.5</v>
      </c>
      <c r="J6">
        <v>1191.6100000000001</v>
      </c>
      <c r="K6">
        <v>1170.03</v>
      </c>
      <c r="L6">
        <v>1184.78</v>
      </c>
      <c r="M6">
        <v>1194.1200000000001</v>
      </c>
      <c r="P6">
        <v>1185.3499999999999</v>
      </c>
      <c r="Q6">
        <v>1160.18</v>
      </c>
      <c r="R6">
        <v>1168.73</v>
      </c>
      <c r="S6">
        <v>1189.68</v>
      </c>
      <c r="T6">
        <v>1282.04</v>
      </c>
      <c r="W6">
        <v>687.5</v>
      </c>
      <c r="X6">
        <v>718.17600000000004</v>
      </c>
      <c r="Y6">
        <v>1569.55</v>
      </c>
      <c r="Z6">
        <v>1765.63</v>
      </c>
      <c r="AA6">
        <v>1675.2</v>
      </c>
      <c r="AD6">
        <v>773.97900000000004</v>
      </c>
      <c r="AE6">
        <v>751.11500000000001</v>
      </c>
      <c r="AF6">
        <v>1601.33</v>
      </c>
      <c r="AG6">
        <v>2115.5100000000002</v>
      </c>
      <c r="AH6">
        <v>1626.76</v>
      </c>
      <c r="AK6">
        <v>782.92700000000002</v>
      </c>
      <c r="AL6">
        <v>757.87099999999998</v>
      </c>
      <c r="AM6">
        <v>1707.06</v>
      </c>
      <c r="AN6">
        <v>1721.76</v>
      </c>
      <c r="AO6">
        <v>1678.9</v>
      </c>
    </row>
    <row r="7" spans="1:41">
      <c r="A7">
        <v>5</v>
      </c>
      <c r="B7">
        <v>1167.97</v>
      </c>
      <c r="C7">
        <v>1153.28</v>
      </c>
      <c r="D7">
        <v>1188.6200000000001</v>
      </c>
      <c r="E7">
        <v>1163.08</v>
      </c>
      <c r="F7">
        <v>1178.73</v>
      </c>
      <c r="I7">
        <v>1179.8699999999999</v>
      </c>
      <c r="J7">
        <v>1298.1100000000001</v>
      </c>
      <c r="K7">
        <v>1190.6600000000001</v>
      </c>
      <c r="L7">
        <v>1167.8599999999999</v>
      </c>
      <c r="M7">
        <v>1188.8700000000001</v>
      </c>
      <c r="P7">
        <v>1262.82</v>
      </c>
      <c r="Q7">
        <v>1237</v>
      </c>
      <c r="R7">
        <v>1276.27</v>
      </c>
      <c r="S7">
        <v>1202.1399999999999</v>
      </c>
      <c r="T7">
        <v>1173.5500000000002</v>
      </c>
      <c r="W7">
        <v>821.81299999999999</v>
      </c>
      <c r="X7">
        <v>821.81600000000003</v>
      </c>
      <c r="Y7">
        <v>1688.6</v>
      </c>
      <c r="Z7">
        <v>1717.86</v>
      </c>
      <c r="AA7">
        <v>1533.99</v>
      </c>
      <c r="AD7">
        <v>694.50199999999995</v>
      </c>
      <c r="AE7">
        <v>655.24300000000005</v>
      </c>
      <c r="AF7">
        <v>1474.28</v>
      </c>
      <c r="AG7">
        <v>1921.58</v>
      </c>
      <c r="AH7">
        <v>1487.08</v>
      </c>
      <c r="AK7">
        <v>782.928</v>
      </c>
      <c r="AL7">
        <v>728.82299999999998</v>
      </c>
      <c r="AM7">
        <v>1441.01</v>
      </c>
      <c r="AN7">
        <v>1587</v>
      </c>
      <c r="AO7">
        <v>1471.49</v>
      </c>
    </row>
    <row r="8" spans="1:41">
      <c r="A8">
        <v>6</v>
      </c>
      <c r="B8">
        <v>1155.1600000000001</v>
      </c>
      <c r="C8">
        <v>1174.83</v>
      </c>
      <c r="D8">
        <v>1165.76</v>
      </c>
      <c r="E8">
        <v>1189.72</v>
      </c>
      <c r="F8">
        <v>1155.5800000000002</v>
      </c>
      <c r="I8">
        <v>1169.69</v>
      </c>
      <c r="J8">
        <v>1165.06</v>
      </c>
      <c r="K8">
        <v>1189.67</v>
      </c>
      <c r="L8">
        <v>1162.9499999999998</v>
      </c>
      <c r="M8">
        <v>1183.21</v>
      </c>
      <c r="P8">
        <v>1161.19</v>
      </c>
      <c r="Q8">
        <v>1182.0999999999999</v>
      </c>
      <c r="R8">
        <v>1168.6799999999998</v>
      </c>
      <c r="S8">
        <v>1185.79</v>
      </c>
      <c r="T8">
        <v>1217.68</v>
      </c>
      <c r="W8">
        <v>657.53499999999997</v>
      </c>
      <c r="X8">
        <v>787.07399999999996</v>
      </c>
      <c r="Y8">
        <v>1482.3</v>
      </c>
      <c r="Z8">
        <v>1681.7</v>
      </c>
      <c r="AA8">
        <v>1681.31</v>
      </c>
      <c r="AD8">
        <v>682.54200000000003</v>
      </c>
      <c r="AE8">
        <v>728.495</v>
      </c>
      <c r="AF8">
        <v>1531.57</v>
      </c>
      <c r="AG8">
        <v>2207.8000000000002</v>
      </c>
      <c r="AH8">
        <v>1610.87</v>
      </c>
      <c r="AK8">
        <v>693.06299999999999</v>
      </c>
      <c r="AL8">
        <v>711.52</v>
      </c>
      <c r="AM8">
        <v>1644.12</v>
      </c>
      <c r="AN8">
        <v>1721.49</v>
      </c>
      <c r="AO8">
        <v>1681.79</v>
      </c>
    </row>
    <row r="9" spans="1:41">
      <c r="A9">
        <v>7</v>
      </c>
      <c r="B9">
        <v>1178.22</v>
      </c>
      <c r="C9">
        <v>1158.77</v>
      </c>
      <c r="D9">
        <v>1183.95</v>
      </c>
      <c r="E9">
        <v>1161.8900000000001</v>
      </c>
      <c r="F9">
        <v>1171.76</v>
      </c>
      <c r="I9">
        <v>1163.5999999999999</v>
      </c>
      <c r="J9">
        <v>1185.08</v>
      </c>
      <c r="K9">
        <v>1168.0999999999999</v>
      </c>
      <c r="L9">
        <v>1207.3700000000001</v>
      </c>
      <c r="M9">
        <v>1191.8699999999999</v>
      </c>
      <c r="P9">
        <v>1187.93</v>
      </c>
      <c r="Q9">
        <v>1158.6600000000001</v>
      </c>
      <c r="R9">
        <v>1183.0700000000002</v>
      </c>
      <c r="S9">
        <v>1164.25</v>
      </c>
      <c r="T9">
        <v>1184.32</v>
      </c>
      <c r="W9">
        <v>735.14099999999996</v>
      </c>
      <c r="X9">
        <v>741.46600000000001</v>
      </c>
      <c r="Y9">
        <v>1753.6</v>
      </c>
      <c r="Z9">
        <v>1806.99</v>
      </c>
      <c r="AA9">
        <v>1740.21</v>
      </c>
      <c r="AD9">
        <v>787.5</v>
      </c>
      <c r="AE9">
        <v>704.76300000000003</v>
      </c>
      <c r="AF9">
        <v>1391.09</v>
      </c>
      <c r="AG9">
        <v>1891.72</v>
      </c>
      <c r="AH9">
        <v>1438.05</v>
      </c>
      <c r="AK9">
        <v>833.20100000000002</v>
      </c>
      <c r="AL9">
        <v>720.29300000000001</v>
      </c>
      <c r="AM9">
        <v>1715.97</v>
      </c>
      <c r="AN9">
        <v>1713.27</v>
      </c>
      <c r="AO9">
        <v>1627.55</v>
      </c>
    </row>
    <row r="10" spans="1:41">
      <c r="A10">
        <v>8</v>
      </c>
      <c r="B10">
        <v>1155.8399999999999</v>
      </c>
      <c r="C10">
        <v>1159.8900000000001</v>
      </c>
      <c r="D10">
        <v>1189.51</v>
      </c>
      <c r="E10">
        <v>1163.6200000000001</v>
      </c>
      <c r="F10">
        <v>1181.1100000000001</v>
      </c>
      <c r="I10">
        <v>1186.81</v>
      </c>
      <c r="J10">
        <v>1163.24</v>
      </c>
      <c r="K10">
        <v>1209.23</v>
      </c>
      <c r="L10">
        <v>1164.8599999999999</v>
      </c>
      <c r="M10">
        <v>1183.2</v>
      </c>
      <c r="P10">
        <v>1163.68</v>
      </c>
      <c r="Q10">
        <v>1224.8600000000001</v>
      </c>
      <c r="R10">
        <v>1244.04</v>
      </c>
      <c r="S10">
        <v>1179.72</v>
      </c>
      <c r="T10">
        <v>1198.72</v>
      </c>
      <c r="W10">
        <v>736.67600000000004</v>
      </c>
      <c r="X10">
        <v>758.94799999999998</v>
      </c>
      <c r="Y10">
        <v>1549.42</v>
      </c>
      <c r="Z10">
        <v>1579.37</v>
      </c>
      <c r="AA10">
        <v>1652.42</v>
      </c>
      <c r="AD10">
        <v>643.84</v>
      </c>
      <c r="AE10">
        <v>642.07000000000005</v>
      </c>
      <c r="AF10">
        <v>1398.29</v>
      </c>
      <c r="AG10">
        <v>1884.69</v>
      </c>
      <c r="AH10">
        <v>1406.51</v>
      </c>
      <c r="AK10">
        <v>742.529</v>
      </c>
      <c r="AL10">
        <v>696.32299999999998</v>
      </c>
      <c r="AM10">
        <v>1450.3</v>
      </c>
      <c r="AN10">
        <v>1573.82</v>
      </c>
      <c r="AO10">
        <v>1468.92</v>
      </c>
    </row>
    <row r="11" spans="1:41">
      <c r="A11">
        <v>9</v>
      </c>
      <c r="B11">
        <v>1150.56</v>
      </c>
      <c r="C11">
        <v>1260.21</v>
      </c>
      <c r="D11">
        <v>1168.18</v>
      </c>
      <c r="E11">
        <v>1180.6199999999999</v>
      </c>
      <c r="F11">
        <v>1155.43</v>
      </c>
      <c r="I11">
        <v>1164.27</v>
      </c>
      <c r="J11">
        <v>1193</v>
      </c>
      <c r="K11">
        <v>1166.23</v>
      </c>
      <c r="L11">
        <v>1183.21</v>
      </c>
      <c r="M11">
        <v>1250.77</v>
      </c>
      <c r="P11">
        <v>1176.3900000000001</v>
      </c>
      <c r="Q11">
        <v>1224.8900000000001</v>
      </c>
      <c r="R11">
        <v>1177.3700000000001</v>
      </c>
      <c r="S11">
        <v>1202.93</v>
      </c>
      <c r="T11">
        <v>1280.5200000000002</v>
      </c>
      <c r="W11">
        <v>686.18399999999997</v>
      </c>
      <c r="X11">
        <v>810.30499999999995</v>
      </c>
      <c r="Y11">
        <v>1704.14</v>
      </c>
      <c r="Z11">
        <v>1786.55</v>
      </c>
      <c r="AA11">
        <v>1713.13</v>
      </c>
      <c r="AD11">
        <v>678.654</v>
      </c>
      <c r="AE11">
        <v>717.25300000000004</v>
      </c>
      <c r="AF11">
        <v>1444.64</v>
      </c>
      <c r="AG11">
        <v>1951.9</v>
      </c>
      <c r="AH11">
        <v>1540.33</v>
      </c>
      <c r="AK11">
        <v>747.02300000000002</v>
      </c>
      <c r="AL11">
        <v>716.53</v>
      </c>
      <c r="AM11">
        <v>1570.96</v>
      </c>
      <c r="AN11">
        <v>1802.06</v>
      </c>
      <c r="AO11">
        <v>1522.96</v>
      </c>
    </row>
    <row r="12" spans="1:41">
      <c r="A12">
        <v>10</v>
      </c>
      <c r="B12">
        <v>1183.57</v>
      </c>
      <c r="C12">
        <v>1163.4100000000001</v>
      </c>
      <c r="D12">
        <v>1192.5600000000002</v>
      </c>
      <c r="E12">
        <v>1190.24</v>
      </c>
      <c r="F12">
        <v>1243.8100000000002</v>
      </c>
      <c r="I12">
        <v>1184.1300000000001</v>
      </c>
      <c r="J12">
        <v>1166.02</v>
      </c>
      <c r="K12">
        <v>1179.1199999999999</v>
      </c>
      <c r="L12">
        <v>1196.9399999999998</v>
      </c>
      <c r="M12">
        <v>1167.3400000000001</v>
      </c>
      <c r="P12">
        <v>1211.1300000000001</v>
      </c>
      <c r="Q12">
        <v>1185.49</v>
      </c>
      <c r="R12">
        <v>1215.06</v>
      </c>
      <c r="S12">
        <v>1171.73</v>
      </c>
      <c r="T12">
        <v>1225.27</v>
      </c>
      <c r="W12">
        <v>747.13300000000004</v>
      </c>
      <c r="X12">
        <v>806.452</v>
      </c>
      <c r="Y12">
        <v>1637.38</v>
      </c>
      <c r="Z12">
        <v>1638.04</v>
      </c>
      <c r="AA12">
        <v>1540.98</v>
      </c>
      <c r="AD12">
        <v>688.30100000000004</v>
      </c>
      <c r="AE12">
        <v>752.46500000000003</v>
      </c>
      <c r="AF12">
        <v>1593.2</v>
      </c>
      <c r="AG12">
        <v>1974.42</v>
      </c>
      <c r="AH12">
        <v>1460.18</v>
      </c>
      <c r="AK12">
        <v>781.11</v>
      </c>
      <c r="AL12">
        <v>707.99300000000005</v>
      </c>
      <c r="AM12">
        <v>1600.02</v>
      </c>
      <c r="AN12">
        <v>1746.45</v>
      </c>
      <c r="AO12">
        <v>1644.99</v>
      </c>
    </row>
    <row r="13" spans="1:41">
      <c r="A13">
        <v>11</v>
      </c>
      <c r="B13">
        <v>1205.0899999999999</v>
      </c>
      <c r="C13">
        <v>1263.3300000000002</v>
      </c>
      <c r="D13">
        <v>1236.95</v>
      </c>
      <c r="E13">
        <v>1244.8999999999999</v>
      </c>
      <c r="F13">
        <v>1213.93</v>
      </c>
      <c r="I13">
        <v>1236.93</v>
      </c>
      <c r="J13">
        <v>1205.52</v>
      </c>
      <c r="K13">
        <v>1192.43</v>
      </c>
      <c r="L13">
        <v>1163.9299999999998</v>
      </c>
      <c r="M13">
        <v>1183.56</v>
      </c>
      <c r="P13">
        <v>1186.8800000000001</v>
      </c>
      <c r="Q13">
        <v>1191.3400000000001</v>
      </c>
      <c r="R13">
        <v>1177.29</v>
      </c>
      <c r="S13">
        <v>1192.1999999999998</v>
      </c>
      <c r="T13">
        <v>1177.1499999999999</v>
      </c>
      <c r="W13">
        <v>654.03399999999999</v>
      </c>
      <c r="X13">
        <v>654.94100000000003</v>
      </c>
      <c r="Y13">
        <v>1519.27</v>
      </c>
      <c r="Z13">
        <v>1679.52</v>
      </c>
      <c r="AA13">
        <v>1623.46</v>
      </c>
      <c r="AD13">
        <v>641.78</v>
      </c>
      <c r="AE13">
        <v>681.94899999999996</v>
      </c>
      <c r="AF13">
        <v>1389.8</v>
      </c>
      <c r="AG13">
        <v>2042.48</v>
      </c>
      <c r="AH13">
        <v>1481.74</v>
      </c>
      <c r="AK13">
        <v>767.27700000000004</v>
      </c>
      <c r="AL13">
        <v>725.45399999999995</v>
      </c>
      <c r="AM13">
        <v>1507.6</v>
      </c>
      <c r="AN13">
        <v>1530.27</v>
      </c>
      <c r="AO13">
        <v>1486.32</v>
      </c>
    </row>
    <row r="14" spans="1:41" hidden="1">
      <c r="A14">
        <v>12</v>
      </c>
      <c r="B14">
        <v>1220.92</v>
      </c>
      <c r="C14">
        <v>1196.8700000000001</v>
      </c>
      <c r="D14">
        <v>1221.9000000000001</v>
      </c>
      <c r="E14">
        <v>1164.21</v>
      </c>
      <c r="F14">
        <v>1182.1600000000001</v>
      </c>
      <c r="I14">
        <v>1164.68</v>
      </c>
      <c r="J14">
        <v>1195.02</v>
      </c>
      <c r="K14">
        <v>1169.75</v>
      </c>
      <c r="L14">
        <v>1180.9099999999999</v>
      </c>
      <c r="M14">
        <v>1162.8799999999999</v>
      </c>
      <c r="P14">
        <v>1193.51</v>
      </c>
      <c r="Q14">
        <v>1196.68</v>
      </c>
      <c r="R14">
        <v>1225.0899999999999</v>
      </c>
      <c r="S14">
        <v>1180.0900000000001</v>
      </c>
      <c r="T14">
        <v>1216.81</v>
      </c>
      <c r="W14">
        <v>775.79100000000005</v>
      </c>
      <c r="X14">
        <v>727.63400000000001</v>
      </c>
      <c r="Y14">
        <v>1743.72</v>
      </c>
      <c r="Z14">
        <v>1818.91</v>
      </c>
      <c r="AA14">
        <v>1638.14</v>
      </c>
      <c r="AD14">
        <v>693.75699999999995</v>
      </c>
      <c r="AE14">
        <v>709.28099999999995</v>
      </c>
      <c r="AF14">
        <v>1518.73</v>
      </c>
      <c r="AG14">
        <v>1913.06</v>
      </c>
      <c r="AH14">
        <v>1477.55</v>
      </c>
      <c r="AK14">
        <v>826.005</v>
      </c>
      <c r="AL14">
        <v>692.59</v>
      </c>
      <c r="AM14">
        <v>1651.78</v>
      </c>
      <c r="AN14">
        <v>1800.98</v>
      </c>
      <c r="AO14">
        <v>1631.68</v>
      </c>
    </row>
    <row r="15" spans="1:41" hidden="1">
      <c r="A15">
        <v>13</v>
      </c>
      <c r="B15">
        <v>1153.1199999999999</v>
      </c>
      <c r="C15">
        <v>1178.43</v>
      </c>
      <c r="D15">
        <v>1164.07</v>
      </c>
      <c r="E15">
        <v>1189.5999999999999</v>
      </c>
      <c r="F15">
        <v>1155.69</v>
      </c>
      <c r="I15">
        <v>1275.57</v>
      </c>
      <c r="J15">
        <v>1174.69</v>
      </c>
      <c r="K15">
        <v>1192.3900000000001</v>
      </c>
      <c r="L15">
        <v>1162.51</v>
      </c>
      <c r="M15">
        <v>1190.24</v>
      </c>
      <c r="P15">
        <v>1175.28</v>
      </c>
      <c r="Q15">
        <v>1206.46</v>
      </c>
      <c r="R15">
        <v>1174.98</v>
      </c>
      <c r="S15">
        <v>1208.3900000000001</v>
      </c>
      <c r="T15">
        <v>1190.07</v>
      </c>
      <c r="W15">
        <v>759.53800000000001</v>
      </c>
      <c r="X15">
        <v>674.86800000000005</v>
      </c>
      <c r="Y15">
        <v>1599.68</v>
      </c>
      <c r="Z15">
        <v>1729.93</v>
      </c>
      <c r="AA15">
        <v>1465.36</v>
      </c>
      <c r="AD15">
        <v>670.30700000000002</v>
      </c>
      <c r="AE15">
        <v>687.58199999999999</v>
      </c>
      <c r="AF15">
        <v>1608.51</v>
      </c>
      <c r="AG15">
        <v>2064.44</v>
      </c>
      <c r="AH15">
        <v>1421.88</v>
      </c>
      <c r="AK15">
        <v>790.61099999999999</v>
      </c>
      <c r="AL15">
        <v>751.93</v>
      </c>
      <c r="AM15">
        <v>1629.93</v>
      </c>
      <c r="AN15">
        <v>1821.81</v>
      </c>
      <c r="AO15">
        <v>1719.1</v>
      </c>
    </row>
    <row r="16" spans="1:41" hidden="1">
      <c r="A16">
        <v>14</v>
      </c>
      <c r="B16">
        <v>1172.0999999999999</v>
      </c>
      <c r="C16">
        <v>1228.4100000000001</v>
      </c>
      <c r="D16">
        <v>1238.33</v>
      </c>
      <c r="E16">
        <v>1209.1099999999999</v>
      </c>
      <c r="F16">
        <v>1226.72</v>
      </c>
      <c r="I16">
        <v>1161.1199999999999</v>
      </c>
      <c r="J16">
        <v>1190.57</v>
      </c>
      <c r="K16">
        <v>1169.05</v>
      </c>
      <c r="L16">
        <v>1165.72</v>
      </c>
      <c r="M16">
        <v>1183.95</v>
      </c>
      <c r="P16">
        <v>1213.73</v>
      </c>
      <c r="Q16">
        <v>1177.0899999999999</v>
      </c>
      <c r="R16">
        <v>1299.6399999999999</v>
      </c>
      <c r="S16">
        <v>1171.45</v>
      </c>
      <c r="T16">
        <v>1296.77</v>
      </c>
      <c r="W16">
        <v>759.428</v>
      </c>
      <c r="X16">
        <v>657.06899999999996</v>
      </c>
      <c r="Y16">
        <v>1509.64</v>
      </c>
      <c r="Z16">
        <v>1532.08</v>
      </c>
      <c r="AA16">
        <v>1792.13</v>
      </c>
      <c r="AD16">
        <v>686.17600000000004</v>
      </c>
      <c r="AE16">
        <v>646.16</v>
      </c>
      <c r="AF16">
        <v>1379.76</v>
      </c>
      <c r="AG16">
        <v>1900.07</v>
      </c>
      <c r="AH16">
        <v>1445.4</v>
      </c>
      <c r="AK16">
        <v>973.351</v>
      </c>
      <c r="AL16">
        <v>705.02200000000005</v>
      </c>
      <c r="AM16">
        <v>1458.87</v>
      </c>
      <c r="AN16">
        <v>1543.83</v>
      </c>
      <c r="AO16">
        <v>1607.31</v>
      </c>
    </row>
    <row r="17" spans="1:41" hidden="1">
      <c r="A17">
        <v>15</v>
      </c>
      <c r="B17">
        <v>1221.29</v>
      </c>
      <c r="C17">
        <v>1195.73</v>
      </c>
      <c r="D17">
        <v>1181.9299999999998</v>
      </c>
      <c r="E17">
        <v>1163.97</v>
      </c>
      <c r="F17">
        <v>1180.99</v>
      </c>
      <c r="I17">
        <v>1247.32</v>
      </c>
      <c r="J17">
        <v>1193.52</v>
      </c>
      <c r="K17">
        <v>1168.3499999999999</v>
      </c>
      <c r="L17">
        <v>1194.98</v>
      </c>
      <c r="M17">
        <v>1167.1300000000001</v>
      </c>
      <c r="P17">
        <v>1181.8</v>
      </c>
      <c r="Q17">
        <v>1191.17</v>
      </c>
      <c r="R17">
        <v>1187.19</v>
      </c>
      <c r="S17">
        <v>1210.51</v>
      </c>
      <c r="T17">
        <v>1194.5900000000001</v>
      </c>
      <c r="W17">
        <v>730.63300000000004</v>
      </c>
      <c r="X17">
        <v>734.351</v>
      </c>
      <c r="Y17">
        <v>1655.06</v>
      </c>
      <c r="Z17">
        <v>1804.3</v>
      </c>
      <c r="AA17">
        <v>1577.63</v>
      </c>
      <c r="AD17">
        <v>664.58600000000001</v>
      </c>
      <c r="AE17">
        <v>740.36</v>
      </c>
      <c r="AF17">
        <v>1471.99</v>
      </c>
      <c r="AG17">
        <v>1930.49</v>
      </c>
      <c r="AH17">
        <v>1469.9</v>
      </c>
      <c r="AK17">
        <v>765.851</v>
      </c>
      <c r="AL17">
        <v>751.178</v>
      </c>
      <c r="AM17">
        <v>1577.55</v>
      </c>
      <c r="AN17">
        <v>1614.24</v>
      </c>
      <c r="AO17">
        <v>1517.41</v>
      </c>
    </row>
    <row r="18" spans="1:41" hidden="1">
      <c r="A18">
        <v>16</v>
      </c>
      <c r="B18">
        <v>1153.98</v>
      </c>
      <c r="C18">
        <v>1183.17</v>
      </c>
      <c r="D18">
        <v>1163.72</v>
      </c>
      <c r="E18">
        <v>1189.74</v>
      </c>
      <c r="F18">
        <v>1152.82</v>
      </c>
      <c r="I18">
        <v>1197</v>
      </c>
      <c r="J18">
        <v>1162.8400000000001</v>
      </c>
      <c r="K18">
        <v>1221.3799999999999</v>
      </c>
      <c r="L18">
        <v>1164.01</v>
      </c>
      <c r="M18">
        <v>1187.43</v>
      </c>
      <c r="P18">
        <v>1230.4100000000001</v>
      </c>
      <c r="Q18">
        <v>1176.3499999999999</v>
      </c>
      <c r="R18">
        <v>1195.53</v>
      </c>
      <c r="S18">
        <v>1207.4000000000001</v>
      </c>
      <c r="T18">
        <v>1173.0400000000002</v>
      </c>
      <c r="W18">
        <v>881.07100000000003</v>
      </c>
      <c r="X18">
        <v>746.86400000000003</v>
      </c>
      <c r="Y18">
        <v>1659.68</v>
      </c>
      <c r="Z18">
        <v>1640.48</v>
      </c>
      <c r="AA18">
        <v>1432.43</v>
      </c>
      <c r="AD18">
        <v>674.928</v>
      </c>
      <c r="AE18">
        <v>677.21699999999998</v>
      </c>
      <c r="AF18">
        <v>1384.48</v>
      </c>
      <c r="AG18">
        <v>1942.68</v>
      </c>
      <c r="AH18">
        <v>1522.37</v>
      </c>
      <c r="AK18">
        <v>728.952</v>
      </c>
      <c r="AL18">
        <v>657.37199999999996</v>
      </c>
      <c r="AM18">
        <v>1513.67</v>
      </c>
      <c r="AN18">
        <v>1719.3</v>
      </c>
      <c r="AO18">
        <v>1716.42</v>
      </c>
    </row>
    <row r="19" spans="1:41" hidden="1">
      <c r="A19">
        <v>17</v>
      </c>
      <c r="B19">
        <v>1175.93</v>
      </c>
      <c r="C19">
        <v>1156.58</v>
      </c>
      <c r="D19">
        <v>1164.3399999999999</v>
      </c>
      <c r="E19">
        <v>1191.1000000000001</v>
      </c>
      <c r="F19">
        <v>1152.6199999999999</v>
      </c>
      <c r="I19">
        <v>1162.29</v>
      </c>
      <c r="J19">
        <v>1185.98</v>
      </c>
      <c r="K19">
        <v>1170.0900000000001</v>
      </c>
      <c r="L19">
        <v>1191.8899999999999</v>
      </c>
      <c r="M19">
        <v>1163.9299999999998</v>
      </c>
      <c r="P19">
        <v>1210.22</v>
      </c>
      <c r="Q19">
        <v>1186.24</v>
      </c>
      <c r="R19">
        <v>1197.76</v>
      </c>
      <c r="S19">
        <v>1177.8599999999999</v>
      </c>
      <c r="T19">
        <v>1197.28</v>
      </c>
      <c r="W19">
        <v>668.94200000000001</v>
      </c>
      <c r="X19">
        <v>692.47400000000005</v>
      </c>
      <c r="Y19">
        <v>1528.08</v>
      </c>
      <c r="Z19">
        <v>1635.46</v>
      </c>
      <c r="AA19">
        <v>1519.19</v>
      </c>
      <c r="AD19">
        <v>728.66499999999996</v>
      </c>
      <c r="AE19">
        <v>681.87</v>
      </c>
      <c r="AF19">
        <v>1424.2</v>
      </c>
      <c r="AG19">
        <v>1909.82</v>
      </c>
      <c r="AH19">
        <v>1538.14</v>
      </c>
      <c r="AK19">
        <v>775.83299999999997</v>
      </c>
      <c r="AL19">
        <v>738.88699999999994</v>
      </c>
      <c r="AM19">
        <v>1614.65</v>
      </c>
      <c r="AN19">
        <v>1808.05</v>
      </c>
      <c r="AO19">
        <v>1450.49</v>
      </c>
    </row>
    <row r="20" spans="1:41" hidden="1">
      <c r="A20">
        <v>18</v>
      </c>
      <c r="B20">
        <v>1179.6199999999999</v>
      </c>
      <c r="C20">
        <v>1162.6099999999999</v>
      </c>
      <c r="D20">
        <v>1191.3899999999999</v>
      </c>
      <c r="E20">
        <v>1162.6799999999998</v>
      </c>
      <c r="F20">
        <v>1179.9100000000001</v>
      </c>
      <c r="I20">
        <v>1195.8699999999999</v>
      </c>
      <c r="J20">
        <v>1168.69</v>
      </c>
      <c r="K20">
        <v>1185.95</v>
      </c>
      <c r="L20">
        <v>1167.4000000000001</v>
      </c>
      <c r="M20">
        <v>1166.46</v>
      </c>
      <c r="P20">
        <v>1220.96</v>
      </c>
      <c r="Q20">
        <v>1199.8800000000001</v>
      </c>
      <c r="R20">
        <v>1191.68</v>
      </c>
      <c r="S20">
        <v>1207.71</v>
      </c>
      <c r="T20">
        <v>1176.3799999999999</v>
      </c>
      <c r="W20">
        <v>820.67399999999998</v>
      </c>
      <c r="X20">
        <v>713.31200000000001</v>
      </c>
      <c r="Y20">
        <v>1640.57</v>
      </c>
      <c r="Z20">
        <v>1710.18</v>
      </c>
      <c r="AA20">
        <v>1606.53</v>
      </c>
      <c r="AD20">
        <v>658.94799999999998</v>
      </c>
      <c r="AE20">
        <v>645.43200000000002</v>
      </c>
      <c r="AF20">
        <v>1406.61</v>
      </c>
      <c r="AG20">
        <v>1902.57</v>
      </c>
      <c r="AH20">
        <v>1396.6</v>
      </c>
      <c r="AK20">
        <v>691.9</v>
      </c>
      <c r="AL20">
        <v>695.42</v>
      </c>
      <c r="AM20">
        <v>1483.86</v>
      </c>
      <c r="AN20">
        <v>1627.25</v>
      </c>
      <c r="AO20">
        <v>1616.6</v>
      </c>
    </row>
    <row r="21" spans="1:41" hidden="1">
      <c r="A21">
        <v>19</v>
      </c>
      <c r="B21">
        <v>1156.18</v>
      </c>
      <c r="C21">
        <v>1183.6299999999999</v>
      </c>
      <c r="D21">
        <v>1291.21</v>
      </c>
      <c r="E21">
        <v>1188.6399999999999</v>
      </c>
      <c r="F21">
        <v>1152.27</v>
      </c>
      <c r="I21">
        <v>1240.31</v>
      </c>
      <c r="J21">
        <v>1166.3900000000001</v>
      </c>
      <c r="K21">
        <v>1187.49</v>
      </c>
      <c r="L21">
        <v>1167.05</v>
      </c>
      <c r="M21">
        <v>1189.78</v>
      </c>
      <c r="P21">
        <v>1203.26</v>
      </c>
      <c r="Q21">
        <v>1164.6399999999999</v>
      </c>
      <c r="R21">
        <v>1206.71</v>
      </c>
      <c r="S21">
        <v>1193.5999999999999</v>
      </c>
      <c r="T21">
        <v>1192.26</v>
      </c>
      <c r="W21">
        <v>707.58100000000002</v>
      </c>
      <c r="X21">
        <v>742.678</v>
      </c>
      <c r="Y21">
        <v>1577.14</v>
      </c>
      <c r="Z21">
        <v>1656.82</v>
      </c>
      <c r="AA21">
        <v>1551.68</v>
      </c>
      <c r="AD21">
        <v>649.16499999999996</v>
      </c>
      <c r="AE21">
        <v>671.41800000000001</v>
      </c>
      <c r="AF21">
        <v>1387.28</v>
      </c>
      <c r="AG21">
        <v>1897.71</v>
      </c>
      <c r="AH21">
        <v>1487.36</v>
      </c>
      <c r="AK21">
        <v>805.48199999999997</v>
      </c>
      <c r="AL21">
        <v>742.08299999999997</v>
      </c>
      <c r="AM21">
        <v>1673.83</v>
      </c>
      <c r="AN21">
        <v>1665.98</v>
      </c>
      <c r="AO21">
        <v>1511.6</v>
      </c>
    </row>
    <row r="22" spans="1:41" hidden="1">
      <c r="A22">
        <v>20</v>
      </c>
      <c r="B22">
        <v>1178.78</v>
      </c>
      <c r="C22">
        <v>1154</v>
      </c>
      <c r="D22">
        <v>1185.28</v>
      </c>
      <c r="E22">
        <v>1162.55</v>
      </c>
      <c r="F22">
        <v>1151.72</v>
      </c>
      <c r="I22">
        <v>1163.7</v>
      </c>
      <c r="J22">
        <v>1241.93</v>
      </c>
      <c r="K22">
        <v>1169</v>
      </c>
      <c r="L22">
        <v>1343.71</v>
      </c>
      <c r="M22">
        <v>1194.5600000000002</v>
      </c>
      <c r="P22">
        <v>1241.6500000000001</v>
      </c>
      <c r="Q22">
        <v>1190.6099999999999</v>
      </c>
      <c r="R22">
        <v>1179.1600000000001</v>
      </c>
      <c r="S22">
        <v>1193.4100000000001</v>
      </c>
      <c r="T22">
        <v>1202.02</v>
      </c>
      <c r="W22">
        <v>703.94100000000003</v>
      </c>
      <c r="X22">
        <v>660.56399999999996</v>
      </c>
      <c r="Y22">
        <v>1646.53</v>
      </c>
      <c r="Z22">
        <v>1573.69</v>
      </c>
      <c r="AA22">
        <v>1534.44</v>
      </c>
      <c r="AD22">
        <v>712.04399999999998</v>
      </c>
      <c r="AE22">
        <v>721.43700000000001</v>
      </c>
      <c r="AF22">
        <v>1671.94</v>
      </c>
      <c r="AG22">
        <v>2128.4299999999998</v>
      </c>
      <c r="AH22">
        <v>1649.54</v>
      </c>
      <c r="AK22">
        <v>675.12</v>
      </c>
      <c r="AL22">
        <v>649.76099999999997</v>
      </c>
      <c r="AM22">
        <v>1419.42</v>
      </c>
      <c r="AN22">
        <v>1690.28</v>
      </c>
      <c r="AO22">
        <v>1629.32</v>
      </c>
    </row>
    <row r="23" spans="1:41" hidden="1">
      <c r="A23">
        <v>21</v>
      </c>
      <c r="B23">
        <v>1174.17</v>
      </c>
      <c r="C23">
        <v>1155.6100000000001</v>
      </c>
      <c r="D23">
        <v>1186.93</v>
      </c>
      <c r="E23">
        <v>1162.52</v>
      </c>
      <c r="F23">
        <v>1176.81</v>
      </c>
      <c r="I23">
        <v>1305.3599999999999</v>
      </c>
      <c r="J23">
        <v>1263.5899999999999</v>
      </c>
      <c r="K23">
        <v>1414.9099999999999</v>
      </c>
      <c r="L23">
        <v>1233.8700000000001</v>
      </c>
      <c r="M23">
        <v>1316.75</v>
      </c>
      <c r="P23">
        <v>1182.76</v>
      </c>
      <c r="Q23">
        <v>1208.3200000000002</v>
      </c>
      <c r="R23">
        <v>1182.3999999999999</v>
      </c>
      <c r="S23">
        <v>1209.8399999999999</v>
      </c>
      <c r="T23">
        <v>1178.3900000000001</v>
      </c>
      <c r="W23">
        <v>771.28</v>
      </c>
      <c r="X23">
        <v>770.346</v>
      </c>
      <c r="Y23">
        <v>1565.06</v>
      </c>
      <c r="Z23">
        <v>1725.06</v>
      </c>
      <c r="AA23">
        <v>1633.52</v>
      </c>
      <c r="AD23">
        <v>760.83199999999999</v>
      </c>
      <c r="AE23">
        <v>779.57299999999998</v>
      </c>
      <c r="AF23">
        <v>1650.82</v>
      </c>
      <c r="AG23">
        <v>2125.84</v>
      </c>
      <c r="AH23">
        <v>1492.22</v>
      </c>
      <c r="AK23">
        <v>756.92399999999998</v>
      </c>
      <c r="AL23">
        <v>832.56399999999996</v>
      </c>
      <c r="AM23">
        <v>1638.52</v>
      </c>
      <c r="AN23">
        <v>1783.13</v>
      </c>
      <c r="AO23">
        <v>1466.66</v>
      </c>
    </row>
    <row r="24" spans="1:41" hidden="1">
      <c r="A24">
        <v>22</v>
      </c>
      <c r="B24">
        <v>1152.9000000000001</v>
      </c>
      <c r="C24">
        <v>1182.8799999999999</v>
      </c>
      <c r="D24">
        <v>1165.95</v>
      </c>
      <c r="E24">
        <v>1191.67</v>
      </c>
      <c r="F24">
        <v>1153.8500000000001</v>
      </c>
      <c r="I24">
        <v>1454.54</v>
      </c>
      <c r="J24">
        <v>1350.43</v>
      </c>
      <c r="K24">
        <v>1227.1799999999998</v>
      </c>
      <c r="L24">
        <v>1207.74</v>
      </c>
      <c r="M24">
        <v>1169.3700000000001</v>
      </c>
      <c r="P24">
        <v>1218.51</v>
      </c>
      <c r="Q24">
        <v>1160.29</v>
      </c>
      <c r="R24">
        <v>1193.8999999999999</v>
      </c>
      <c r="S24">
        <v>1164.76</v>
      </c>
      <c r="T24">
        <v>1198.8600000000001</v>
      </c>
      <c r="W24">
        <v>783.80399999999997</v>
      </c>
      <c r="X24">
        <v>749.87099999999998</v>
      </c>
      <c r="Y24">
        <v>1636.67</v>
      </c>
      <c r="Z24">
        <v>1713.13</v>
      </c>
      <c r="AA24">
        <v>1485.39</v>
      </c>
      <c r="AD24">
        <v>669.26499999999999</v>
      </c>
      <c r="AE24">
        <v>645.69600000000003</v>
      </c>
      <c r="AF24">
        <v>1406.57</v>
      </c>
      <c r="AG24">
        <v>1884.81</v>
      </c>
      <c r="AH24">
        <v>1484.86</v>
      </c>
      <c r="AK24">
        <v>733.24099999999999</v>
      </c>
      <c r="AL24">
        <v>694.13800000000003</v>
      </c>
      <c r="AM24">
        <v>1566.13</v>
      </c>
      <c r="AN24">
        <v>1781.02</v>
      </c>
      <c r="AO24">
        <v>1565.84</v>
      </c>
    </row>
    <row r="25" spans="1:41" hidden="1">
      <c r="A25">
        <v>23</v>
      </c>
      <c r="B25">
        <v>1175.81</v>
      </c>
      <c r="C25">
        <v>1155.3700000000001</v>
      </c>
      <c r="D25">
        <v>1164.76</v>
      </c>
      <c r="E25">
        <v>1191.4100000000001</v>
      </c>
      <c r="F25">
        <v>1152.6400000000001</v>
      </c>
      <c r="I25">
        <v>1189.8900000000001</v>
      </c>
      <c r="J25">
        <v>1172.19</v>
      </c>
      <c r="K25">
        <v>1170.82</v>
      </c>
      <c r="L25">
        <v>1204.72</v>
      </c>
      <c r="M25">
        <v>1196.1399999999999</v>
      </c>
      <c r="P25">
        <v>1164.46</v>
      </c>
      <c r="Q25">
        <v>1177.1499999999999</v>
      </c>
      <c r="R25">
        <v>1170.3</v>
      </c>
      <c r="S25">
        <v>1186.74</v>
      </c>
      <c r="T25">
        <v>1158.43</v>
      </c>
      <c r="W25">
        <v>648.94500000000005</v>
      </c>
      <c r="X25">
        <v>659.79700000000003</v>
      </c>
      <c r="Y25">
        <v>1446.69</v>
      </c>
      <c r="Z25">
        <v>1544.42</v>
      </c>
      <c r="AA25">
        <v>1677.35</v>
      </c>
      <c r="AD25">
        <v>736.32399999999996</v>
      </c>
      <c r="AE25">
        <v>850.65899999999999</v>
      </c>
      <c r="AF25">
        <v>1698.32</v>
      </c>
      <c r="AG25">
        <v>2144.7199999999998</v>
      </c>
      <c r="AH25">
        <v>1665.63</v>
      </c>
      <c r="AK25">
        <v>886.58699999999999</v>
      </c>
      <c r="AL25">
        <v>727.03700000000003</v>
      </c>
      <c r="AM25">
        <v>1636.37</v>
      </c>
      <c r="AN25">
        <v>1691.76</v>
      </c>
      <c r="AO25">
        <v>1624.76</v>
      </c>
    </row>
    <row r="26" spans="1:41" hidden="1">
      <c r="A26">
        <v>24</v>
      </c>
      <c r="B26">
        <v>1182.6199999999999</v>
      </c>
      <c r="C26">
        <v>1155.48</v>
      </c>
      <c r="D26">
        <v>1182.57</v>
      </c>
      <c r="E26">
        <v>1248.22</v>
      </c>
      <c r="F26">
        <v>1171.74</v>
      </c>
      <c r="I26">
        <v>1202.8599999999999</v>
      </c>
      <c r="J26">
        <v>1166.56</v>
      </c>
      <c r="K26">
        <v>1195.3700000000001</v>
      </c>
      <c r="L26">
        <v>1168.3699999999999</v>
      </c>
      <c r="M26">
        <v>1197.81</v>
      </c>
      <c r="P26">
        <v>1181.73</v>
      </c>
      <c r="Q26">
        <v>1159.0999999999999</v>
      </c>
      <c r="R26">
        <v>1190.42</v>
      </c>
      <c r="S26">
        <v>1162.43</v>
      </c>
      <c r="T26">
        <v>1158.97</v>
      </c>
      <c r="W26">
        <v>799.47199999999998</v>
      </c>
      <c r="X26">
        <v>767.93499999999995</v>
      </c>
      <c r="Y26">
        <v>1698.93</v>
      </c>
      <c r="Z26">
        <v>1679.61</v>
      </c>
      <c r="AA26">
        <v>1834.94</v>
      </c>
      <c r="AD26">
        <v>810.846</v>
      </c>
      <c r="AE26">
        <v>701.24199999999996</v>
      </c>
      <c r="AF26">
        <v>1592.48</v>
      </c>
      <c r="AG26">
        <v>2297.64</v>
      </c>
      <c r="AH26">
        <v>1510.66</v>
      </c>
      <c r="AK26">
        <v>742.33600000000001</v>
      </c>
      <c r="AL26">
        <v>770.31500000000005</v>
      </c>
      <c r="AM26">
        <v>1567.56</v>
      </c>
      <c r="AN26">
        <v>1536.91</v>
      </c>
      <c r="AO26">
        <v>1479.09</v>
      </c>
    </row>
    <row r="27" spans="1:41" hidden="1">
      <c r="A27">
        <v>25</v>
      </c>
      <c r="B27">
        <v>1151.9100000000001</v>
      </c>
      <c r="C27">
        <v>1183.48</v>
      </c>
      <c r="D27">
        <v>1163.07</v>
      </c>
      <c r="E27">
        <v>1177.51</v>
      </c>
      <c r="F27">
        <v>1154.6199999999999</v>
      </c>
      <c r="I27">
        <v>1394.73</v>
      </c>
      <c r="J27">
        <v>1214.6099999999999</v>
      </c>
      <c r="K27">
        <v>1172.43</v>
      </c>
      <c r="L27">
        <v>1198.58</v>
      </c>
      <c r="M27">
        <v>1172.4099999999999</v>
      </c>
      <c r="P27">
        <v>1326.8</v>
      </c>
      <c r="Q27">
        <v>1166.8700000000001</v>
      </c>
      <c r="R27">
        <v>1192.33</v>
      </c>
      <c r="S27">
        <v>1169.06</v>
      </c>
      <c r="T27">
        <v>1222.8300000000002</v>
      </c>
      <c r="W27">
        <v>826.37699999999995</v>
      </c>
      <c r="X27">
        <v>869.56299999999999</v>
      </c>
      <c r="Y27">
        <v>1554.93</v>
      </c>
      <c r="Z27">
        <v>1722.6</v>
      </c>
      <c r="AA27">
        <v>1466.13</v>
      </c>
      <c r="AD27">
        <v>680.101</v>
      </c>
      <c r="AE27">
        <v>648.48599999999999</v>
      </c>
      <c r="AF27">
        <v>1415.54</v>
      </c>
      <c r="AG27">
        <v>1982.59</v>
      </c>
      <c r="AH27">
        <v>1731.3</v>
      </c>
      <c r="AK27">
        <v>706.71900000000005</v>
      </c>
      <c r="AL27">
        <v>732.56899999999996</v>
      </c>
      <c r="AM27">
        <v>1576.99</v>
      </c>
      <c r="AN27">
        <v>1751.94</v>
      </c>
      <c r="AO27">
        <v>1674.78</v>
      </c>
    </row>
    <row r="28" spans="1:41" hidden="1">
      <c r="A28">
        <v>26</v>
      </c>
      <c r="B28">
        <v>1178.3900000000001</v>
      </c>
      <c r="C28">
        <v>1161.2800000000002</v>
      </c>
      <c r="D28">
        <v>1222.53</v>
      </c>
      <c r="E28">
        <v>1172.3600000000001</v>
      </c>
      <c r="F28">
        <v>1181.02</v>
      </c>
      <c r="I28">
        <v>1188.4100000000001</v>
      </c>
      <c r="J28">
        <v>1162</v>
      </c>
      <c r="K28">
        <v>1201.02</v>
      </c>
      <c r="L28">
        <v>1197.19</v>
      </c>
      <c r="M28">
        <v>1210.6399999999999</v>
      </c>
      <c r="P28">
        <v>1233.3699999999999</v>
      </c>
      <c r="Q28">
        <v>1178.72</v>
      </c>
      <c r="R28">
        <v>1169.71</v>
      </c>
      <c r="S28">
        <v>1187.03</v>
      </c>
      <c r="T28">
        <v>1159.18</v>
      </c>
      <c r="W28">
        <v>810.83799999999997</v>
      </c>
      <c r="X28">
        <v>659.83</v>
      </c>
      <c r="Y28">
        <v>1514.03</v>
      </c>
      <c r="Z28">
        <v>1615.2</v>
      </c>
      <c r="AA28">
        <v>1415.93</v>
      </c>
      <c r="AD28">
        <v>749.29600000000005</v>
      </c>
      <c r="AE28">
        <v>715.50300000000004</v>
      </c>
      <c r="AF28">
        <v>1613.36</v>
      </c>
      <c r="AG28">
        <v>2190.35</v>
      </c>
      <c r="AH28">
        <v>1642.34</v>
      </c>
      <c r="AK28">
        <v>823.35900000000004</v>
      </c>
      <c r="AL28">
        <v>756.40800000000002</v>
      </c>
      <c r="AM28">
        <v>1697.58</v>
      </c>
      <c r="AN28">
        <v>1767.4</v>
      </c>
      <c r="AO28">
        <v>1609.73</v>
      </c>
    </row>
    <row r="29" spans="1:41" hidden="1">
      <c r="A29">
        <v>27</v>
      </c>
      <c r="B29">
        <v>1153.47</v>
      </c>
      <c r="C29">
        <v>1183</v>
      </c>
      <c r="D29">
        <v>1182.99</v>
      </c>
      <c r="E29">
        <v>1198.93</v>
      </c>
      <c r="F29">
        <v>1180.76</v>
      </c>
      <c r="I29">
        <v>1171.8699999999999</v>
      </c>
      <c r="J29">
        <v>1187.6199999999999</v>
      </c>
      <c r="K29">
        <v>1174.27</v>
      </c>
      <c r="L29">
        <v>1184.73</v>
      </c>
      <c r="M29">
        <v>1168.25</v>
      </c>
      <c r="P29">
        <v>1199.74</v>
      </c>
      <c r="Q29">
        <v>1159.8999999999999</v>
      </c>
      <c r="R29">
        <v>1199.97</v>
      </c>
      <c r="S29">
        <v>1167.56</v>
      </c>
      <c r="T29">
        <v>1195.5800000000002</v>
      </c>
      <c r="W29">
        <v>713.80499999999995</v>
      </c>
      <c r="X29">
        <v>644.13499999999999</v>
      </c>
      <c r="Y29">
        <v>1363.03</v>
      </c>
      <c r="Z29">
        <v>1467.53</v>
      </c>
      <c r="AA29">
        <v>1389.71</v>
      </c>
      <c r="AD29">
        <v>752.93399999999997</v>
      </c>
      <c r="AE29">
        <v>769.55799999999999</v>
      </c>
      <c r="AF29">
        <v>1464.3</v>
      </c>
      <c r="AG29">
        <v>1911.54</v>
      </c>
      <c r="AH29">
        <v>1457.91</v>
      </c>
      <c r="AK29">
        <v>767.36</v>
      </c>
      <c r="AL29">
        <v>706.36199999999997</v>
      </c>
      <c r="AM29">
        <v>1580.27</v>
      </c>
      <c r="AN29">
        <v>1810.55</v>
      </c>
      <c r="AO29">
        <v>1664.84</v>
      </c>
    </row>
    <row r="30" spans="1:41" hidden="1">
      <c r="A30">
        <v>28</v>
      </c>
      <c r="B30">
        <v>1153.05</v>
      </c>
      <c r="C30">
        <v>1175.1499999999999</v>
      </c>
      <c r="D30">
        <v>1162.46</v>
      </c>
      <c r="E30">
        <v>1182.93</v>
      </c>
      <c r="F30">
        <v>1153.04</v>
      </c>
      <c r="I30">
        <v>1208.0999999999999</v>
      </c>
      <c r="J30">
        <v>1179.06</v>
      </c>
      <c r="K30">
        <v>1172.49</v>
      </c>
      <c r="L30">
        <v>1188.32</v>
      </c>
      <c r="M30">
        <v>1170.04</v>
      </c>
      <c r="P30">
        <v>1161.5</v>
      </c>
      <c r="Q30">
        <v>1175.44</v>
      </c>
      <c r="R30">
        <v>1171.52</v>
      </c>
      <c r="S30">
        <v>1162.94</v>
      </c>
      <c r="T30">
        <v>1182.6199999999999</v>
      </c>
      <c r="W30">
        <v>734.67399999999998</v>
      </c>
      <c r="X30">
        <v>635.67600000000004</v>
      </c>
      <c r="Y30">
        <v>1499.67</v>
      </c>
      <c r="Z30">
        <v>1568.96</v>
      </c>
      <c r="AA30">
        <v>1440.18</v>
      </c>
      <c r="AD30">
        <v>685.85900000000004</v>
      </c>
      <c r="AE30">
        <v>726.11</v>
      </c>
      <c r="AF30">
        <v>1443.23</v>
      </c>
      <c r="AG30">
        <v>2089.81</v>
      </c>
      <c r="AH30">
        <v>1625.95</v>
      </c>
      <c r="AK30">
        <v>819.43499999999995</v>
      </c>
      <c r="AL30">
        <v>852.51900000000001</v>
      </c>
      <c r="AM30">
        <v>1494.43</v>
      </c>
      <c r="AN30">
        <v>1833.25</v>
      </c>
      <c r="AO30">
        <v>1811.49</v>
      </c>
    </row>
    <row r="31" spans="1:41" hidden="1">
      <c r="A31">
        <v>29</v>
      </c>
      <c r="B31">
        <v>1169.6400000000001</v>
      </c>
      <c r="C31">
        <v>1155.6200000000001</v>
      </c>
      <c r="D31">
        <v>1163.75</v>
      </c>
      <c r="E31">
        <v>1195.71</v>
      </c>
      <c r="F31">
        <v>1256.48</v>
      </c>
      <c r="I31">
        <v>1186.6199999999999</v>
      </c>
      <c r="J31">
        <v>1189.06</v>
      </c>
      <c r="K31">
        <v>1189.06</v>
      </c>
      <c r="L31">
        <v>1166.58</v>
      </c>
      <c r="M31">
        <v>1192.8600000000001</v>
      </c>
      <c r="P31">
        <v>1160.83</v>
      </c>
      <c r="Q31">
        <v>1187.4499999999998</v>
      </c>
      <c r="R31">
        <v>1168.3399999999999</v>
      </c>
      <c r="S31">
        <v>1186.43</v>
      </c>
      <c r="T31">
        <v>1156.52</v>
      </c>
      <c r="W31">
        <v>634.72900000000004</v>
      </c>
      <c r="X31">
        <v>630.13900000000001</v>
      </c>
      <c r="Y31">
        <v>1396.45</v>
      </c>
      <c r="Z31">
        <v>1458.85</v>
      </c>
      <c r="AA31">
        <v>1433.74</v>
      </c>
      <c r="AD31">
        <v>755.803</v>
      </c>
      <c r="AE31">
        <v>756.66</v>
      </c>
      <c r="AF31">
        <v>1733.52</v>
      </c>
      <c r="AG31">
        <v>2138.08</v>
      </c>
      <c r="AH31">
        <v>1588.66</v>
      </c>
      <c r="AK31">
        <v>740.01499999999999</v>
      </c>
      <c r="AL31">
        <v>740.42499999999995</v>
      </c>
      <c r="AM31">
        <v>1504.26</v>
      </c>
      <c r="AN31">
        <v>1562.88</v>
      </c>
      <c r="AO31">
        <v>2162.38</v>
      </c>
    </row>
    <row r="32" spans="1:41" hidden="1">
      <c r="A32">
        <v>30</v>
      </c>
      <c r="B32">
        <v>1182.3900000000001</v>
      </c>
      <c r="C32">
        <v>1156.43</v>
      </c>
      <c r="D32">
        <v>1191.3100000000002</v>
      </c>
      <c r="E32">
        <v>1160.6300000000001</v>
      </c>
      <c r="F32">
        <v>1172.9000000000001</v>
      </c>
      <c r="I32">
        <v>1167.07</v>
      </c>
      <c r="J32">
        <v>1272.1400000000001</v>
      </c>
      <c r="K32">
        <v>1167.51</v>
      </c>
      <c r="L32">
        <v>1192.76</v>
      </c>
      <c r="M32">
        <v>1165.7</v>
      </c>
      <c r="P32">
        <v>1181.5999999999999</v>
      </c>
      <c r="Q32">
        <v>1255.97</v>
      </c>
      <c r="R32">
        <v>1190.3999999999999</v>
      </c>
      <c r="S32">
        <v>1163.76</v>
      </c>
      <c r="T32">
        <v>1157.8200000000002</v>
      </c>
      <c r="W32">
        <v>696.67200000000003</v>
      </c>
      <c r="X32">
        <v>630.39400000000001</v>
      </c>
      <c r="Y32">
        <v>1568.86</v>
      </c>
      <c r="Z32">
        <v>1541.32</v>
      </c>
      <c r="AA32">
        <v>1550.63</v>
      </c>
      <c r="AD32">
        <v>668.64</v>
      </c>
      <c r="AE32">
        <v>645.85900000000004</v>
      </c>
      <c r="AF32">
        <v>1484.02</v>
      </c>
      <c r="AG32">
        <v>1918.59</v>
      </c>
      <c r="AH32">
        <v>1451.75</v>
      </c>
      <c r="AK32">
        <v>868.50699999999995</v>
      </c>
      <c r="AL32">
        <v>1083.3399999999999</v>
      </c>
      <c r="AM32">
        <v>1656.35</v>
      </c>
      <c r="AN32">
        <v>1717.08</v>
      </c>
      <c r="AO32">
        <v>1900.22</v>
      </c>
    </row>
    <row r="33" spans="1:41" hidden="1">
      <c r="A33">
        <v>31</v>
      </c>
      <c r="B33">
        <v>1154.6400000000001</v>
      </c>
      <c r="C33">
        <v>1181.51</v>
      </c>
      <c r="D33">
        <v>1165.47</v>
      </c>
      <c r="E33">
        <v>1190.46</v>
      </c>
      <c r="F33">
        <v>1155.57</v>
      </c>
      <c r="I33">
        <v>1182.33</v>
      </c>
      <c r="J33">
        <v>1167.57</v>
      </c>
      <c r="K33">
        <v>1190.51</v>
      </c>
      <c r="L33">
        <v>1167.0899999999999</v>
      </c>
      <c r="M33">
        <v>1191.24</v>
      </c>
      <c r="P33">
        <v>1182.58</v>
      </c>
      <c r="Q33">
        <v>1157.8</v>
      </c>
      <c r="R33">
        <v>1188.7</v>
      </c>
      <c r="S33">
        <v>1166.79</v>
      </c>
      <c r="T33">
        <v>1182.9099999999999</v>
      </c>
      <c r="W33">
        <v>738.09699999999998</v>
      </c>
      <c r="X33">
        <v>868.72699999999998</v>
      </c>
      <c r="Y33">
        <v>1619.33</v>
      </c>
      <c r="Z33">
        <v>1734.19</v>
      </c>
      <c r="AA33">
        <v>1606.42</v>
      </c>
      <c r="AD33">
        <v>708.59400000000005</v>
      </c>
      <c r="AE33">
        <v>672.08799999999997</v>
      </c>
      <c r="AF33">
        <v>1489.86</v>
      </c>
      <c r="AG33">
        <v>2185.6999999999998</v>
      </c>
      <c r="AH33">
        <v>1652.12</v>
      </c>
      <c r="AK33">
        <v>816.94399999999996</v>
      </c>
      <c r="AL33">
        <v>743.92399999999998</v>
      </c>
      <c r="AM33">
        <v>1851.25</v>
      </c>
      <c r="AN33">
        <v>1618.78</v>
      </c>
      <c r="AO33">
        <v>1596.11</v>
      </c>
    </row>
    <row r="34" spans="1:41" hidden="1">
      <c r="A34">
        <v>32</v>
      </c>
      <c r="B34">
        <v>1154.76</v>
      </c>
      <c r="C34">
        <v>1193.73</v>
      </c>
      <c r="D34">
        <v>1165.0700000000002</v>
      </c>
      <c r="E34">
        <v>1183.68</v>
      </c>
      <c r="F34">
        <v>1154.9799999999998</v>
      </c>
      <c r="I34">
        <v>1163.6400000000001</v>
      </c>
      <c r="J34">
        <v>1191.9299999999998</v>
      </c>
      <c r="K34">
        <v>1167.78</v>
      </c>
      <c r="L34">
        <v>1165.6299999999999</v>
      </c>
      <c r="M34">
        <v>1183.8800000000001</v>
      </c>
      <c r="P34">
        <v>1161.3800000000001</v>
      </c>
      <c r="Q34">
        <v>1181.6899999999998</v>
      </c>
      <c r="R34">
        <v>1169.0700000000002</v>
      </c>
      <c r="S34">
        <v>1188.7700000000002</v>
      </c>
      <c r="T34">
        <v>1154.9100000000001</v>
      </c>
      <c r="W34">
        <v>719.66700000000003</v>
      </c>
      <c r="X34">
        <v>659.78099999999995</v>
      </c>
      <c r="Y34">
        <v>1516.07</v>
      </c>
      <c r="Z34">
        <v>1559.33</v>
      </c>
      <c r="AA34">
        <v>1561.42</v>
      </c>
      <c r="AD34">
        <v>723.78899999999999</v>
      </c>
      <c r="AE34">
        <v>747.79899999999998</v>
      </c>
      <c r="AF34">
        <v>1615.92</v>
      </c>
      <c r="AG34">
        <v>2155.63</v>
      </c>
      <c r="AH34">
        <v>1626.87</v>
      </c>
      <c r="AK34">
        <v>847.69500000000005</v>
      </c>
      <c r="AL34">
        <v>860.07</v>
      </c>
      <c r="AM34">
        <v>1968.28</v>
      </c>
      <c r="AN34">
        <v>1912.74</v>
      </c>
      <c r="AO34">
        <v>1777.11</v>
      </c>
    </row>
    <row r="35" spans="1:41" hidden="1">
      <c r="A35">
        <v>33</v>
      </c>
      <c r="B35">
        <v>1177.9100000000001</v>
      </c>
      <c r="C35">
        <v>1155.3400000000001</v>
      </c>
      <c r="D35">
        <v>1190.1699999999998</v>
      </c>
      <c r="E35">
        <v>1173.2800000000002</v>
      </c>
      <c r="F35">
        <v>1198.58</v>
      </c>
      <c r="I35">
        <v>1162.8499999999999</v>
      </c>
      <c r="J35">
        <v>1189.97</v>
      </c>
      <c r="K35">
        <v>1167.33</v>
      </c>
      <c r="L35">
        <v>1185.74</v>
      </c>
      <c r="M35">
        <v>1166.52</v>
      </c>
      <c r="P35">
        <v>1187.81</v>
      </c>
      <c r="Q35">
        <v>1157.71</v>
      </c>
      <c r="R35">
        <v>1186.52</v>
      </c>
      <c r="S35">
        <v>1165.5</v>
      </c>
      <c r="T35">
        <v>1179.1000000000001</v>
      </c>
      <c r="W35">
        <v>760.69200000000001</v>
      </c>
      <c r="X35">
        <v>818.81500000000005</v>
      </c>
      <c r="Y35">
        <v>1630.34</v>
      </c>
      <c r="Z35">
        <v>1646.86</v>
      </c>
      <c r="AA35">
        <v>1421.71</v>
      </c>
      <c r="AD35">
        <v>756.47299999999996</v>
      </c>
      <c r="AE35">
        <v>771.43499999999995</v>
      </c>
      <c r="AF35">
        <v>1413.89</v>
      </c>
      <c r="AG35">
        <v>1950.96</v>
      </c>
      <c r="AH35">
        <v>1460.39</v>
      </c>
      <c r="AK35">
        <v>889.41200000000003</v>
      </c>
      <c r="AL35">
        <v>925.00199999999995</v>
      </c>
      <c r="AM35">
        <v>2014.8</v>
      </c>
      <c r="AN35">
        <v>2125.83</v>
      </c>
      <c r="AO35">
        <v>1894.73</v>
      </c>
    </row>
    <row r="36" spans="1:41" hidden="1">
      <c r="A36">
        <v>34</v>
      </c>
      <c r="B36">
        <v>1153.76</v>
      </c>
      <c r="C36">
        <v>1172.1600000000001</v>
      </c>
      <c r="D36">
        <v>1162.8499999999999</v>
      </c>
      <c r="E36">
        <v>1163.6299999999999</v>
      </c>
      <c r="F36">
        <v>1177.22</v>
      </c>
      <c r="I36">
        <v>1189.26</v>
      </c>
      <c r="J36">
        <v>1165.5</v>
      </c>
      <c r="K36">
        <v>1204.0900000000001</v>
      </c>
      <c r="L36">
        <v>1166.42</v>
      </c>
      <c r="M36">
        <v>1192.44</v>
      </c>
      <c r="P36">
        <v>1161.78</v>
      </c>
      <c r="Q36">
        <v>1177.32</v>
      </c>
      <c r="R36">
        <v>1169.44</v>
      </c>
      <c r="S36">
        <v>1163.8</v>
      </c>
      <c r="T36">
        <v>1178.56</v>
      </c>
      <c r="W36">
        <v>675.02599999999995</v>
      </c>
      <c r="X36">
        <v>657.65200000000004</v>
      </c>
      <c r="Y36">
        <v>1425.97</v>
      </c>
      <c r="Z36">
        <v>1497.76</v>
      </c>
      <c r="AA36">
        <v>1419.24</v>
      </c>
      <c r="AD36">
        <v>704.03099999999995</v>
      </c>
      <c r="AE36">
        <v>679.37099999999998</v>
      </c>
      <c r="AF36">
        <v>1514.64</v>
      </c>
      <c r="AG36">
        <v>2178.9499999999998</v>
      </c>
      <c r="AH36">
        <v>1724.07</v>
      </c>
      <c r="AK36">
        <v>802.04899999999998</v>
      </c>
      <c r="AL36">
        <v>787.24699999999996</v>
      </c>
      <c r="AM36">
        <v>1799.89</v>
      </c>
      <c r="AN36">
        <v>1590.86</v>
      </c>
      <c r="AO36">
        <v>1489.15</v>
      </c>
    </row>
    <row r="37" spans="1:41" hidden="1">
      <c r="A37">
        <v>35</v>
      </c>
      <c r="B37">
        <v>1260.32</v>
      </c>
      <c r="C37">
        <v>1156.67</v>
      </c>
      <c r="D37">
        <v>1163.56</v>
      </c>
      <c r="E37">
        <v>1184.58</v>
      </c>
      <c r="F37">
        <v>1155.01</v>
      </c>
      <c r="I37">
        <v>1164.42</v>
      </c>
      <c r="J37">
        <v>1288.51</v>
      </c>
      <c r="K37">
        <v>1170.3499999999999</v>
      </c>
      <c r="L37">
        <v>1196.69</v>
      </c>
      <c r="M37">
        <v>1164.4099999999999</v>
      </c>
      <c r="P37">
        <v>1164.1500000000001</v>
      </c>
      <c r="Q37">
        <v>1190.43</v>
      </c>
      <c r="R37">
        <v>1239.9000000000001</v>
      </c>
      <c r="S37">
        <v>1185.1000000000001</v>
      </c>
      <c r="T37">
        <v>1160.7099999999998</v>
      </c>
      <c r="W37">
        <v>679.15099999999995</v>
      </c>
      <c r="X37">
        <v>653.69899999999996</v>
      </c>
      <c r="Y37">
        <v>1465.81</v>
      </c>
      <c r="Z37">
        <v>1550.24</v>
      </c>
      <c r="AA37">
        <v>1502.82</v>
      </c>
      <c r="AD37">
        <v>762.68799999999999</v>
      </c>
      <c r="AE37">
        <v>795.09799999999996</v>
      </c>
      <c r="AF37">
        <v>1575.1</v>
      </c>
      <c r="AG37">
        <v>2152.37</v>
      </c>
      <c r="AH37">
        <v>1809.69</v>
      </c>
      <c r="AK37">
        <v>696.90200000000004</v>
      </c>
      <c r="AL37">
        <v>829.19100000000003</v>
      </c>
      <c r="AM37">
        <v>1743.08</v>
      </c>
      <c r="AN37">
        <v>1820.68</v>
      </c>
      <c r="AO37">
        <v>1623.92</v>
      </c>
    </row>
    <row r="38" spans="1:41" hidden="1">
      <c r="A38">
        <v>36</v>
      </c>
      <c r="B38">
        <v>1173.51</v>
      </c>
      <c r="C38">
        <v>1157.4100000000001</v>
      </c>
      <c r="D38">
        <v>1188.82</v>
      </c>
      <c r="E38">
        <v>1161.1400000000001</v>
      </c>
      <c r="F38">
        <v>1173.4000000000001</v>
      </c>
      <c r="I38">
        <v>1182.4000000000001</v>
      </c>
      <c r="J38">
        <v>1163.99</v>
      </c>
      <c r="K38">
        <v>1165.29</v>
      </c>
      <c r="L38">
        <v>1187.33</v>
      </c>
      <c r="M38">
        <v>1189.1199999999999</v>
      </c>
      <c r="P38">
        <v>1201.56</v>
      </c>
      <c r="Q38">
        <v>1175.02</v>
      </c>
      <c r="R38">
        <v>1190.82</v>
      </c>
      <c r="S38">
        <v>1165.7</v>
      </c>
      <c r="T38">
        <v>1193.43</v>
      </c>
      <c r="W38">
        <v>790.18799999999999</v>
      </c>
      <c r="X38">
        <v>730.73199999999997</v>
      </c>
      <c r="Y38">
        <v>1604.36</v>
      </c>
      <c r="Z38">
        <v>1559.49</v>
      </c>
      <c r="AA38">
        <v>1453.68</v>
      </c>
      <c r="AD38">
        <v>756.52700000000004</v>
      </c>
      <c r="AE38">
        <v>910.12099999999998</v>
      </c>
      <c r="AF38">
        <v>1400.07</v>
      </c>
      <c r="AG38">
        <v>1912.48</v>
      </c>
      <c r="AH38">
        <v>1546.04</v>
      </c>
      <c r="AK38">
        <v>848.76800000000003</v>
      </c>
      <c r="AL38">
        <v>789.37099999999998</v>
      </c>
      <c r="AM38">
        <v>1568.89</v>
      </c>
      <c r="AN38">
        <v>1624.68</v>
      </c>
      <c r="AO38">
        <v>1494.99</v>
      </c>
    </row>
    <row r="39" spans="1:41" hidden="1">
      <c r="A39">
        <v>37</v>
      </c>
      <c r="B39">
        <v>1152.48</v>
      </c>
      <c r="C39">
        <v>1181.6400000000001</v>
      </c>
      <c r="D39">
        <v>1163</v>
      </c>
      <c r="E39">
        <v>1182.3300000000002</v>
      </c>
      <c r="F39">
        <v>1154.67</v>
      </c>
      <c r="I39">
        <v>1189.77</v>
      </c>
      <c r="J39">
        <v>1172.32</v>
      </c>
      <c r="K39">
        <v>1203.1499999999999</v>
      </c>
      <c r="L39">
        <v>1168.4000000000001</v>
      </c>
      <c r="M39">
        <v>1186.43</v>
      </c>
      <c r="P39">
        <v>1166.26</v>
      </c>
      <c r="Q39">
        <v>1166.74</v>
      </c>
      <c r="R39">
        <v>1171.05</v>
      </c>
      <c r="S39">
        <v>1162.93</v>
      </c>
      <c r="T39">
        <v>1184.01</v>
      </c>
      <c r="W39">
        <v>623.67899999999997</v>
      </c>
      <c r="X39">
        <v>630.86699999999996</v>
      </c>
      <c r="Y39">
        <v>1411.56</v>
      </c>
      <c r="Z39">
        <v>1809.21</v>
      </c>
      <c r="AA39">
        <v>1434.86</v>
      </c>
      <c r="AD39">
        <v>677.30100000000004</v>
      </c>
      <c r="AE39">
        <v>678.99699999999996</v>
      </c>
      <c r="AF39">
        <v>1652.3</v>
      </c>
      <c r="AG39">
        <v>1973.97</v>
      </c>
      <c r="AH39">
        <v>1403.17</v>
      </c>
      <c r="AK39">
        <v>690.87900000000002</v>
      </c>
      <c r="AL39">
        <v>662.90200000000004</v>
      </c>
      <c r="AM39">
        <v>1414.37</v>
      </c>
      <c r="AN39">
        <v>1617.97</v>
      </c>
      <c r="AO39">
        <v>1729.85</v>
      </c>
    </row>
    <row r="40" spans="1:41" hidden="1">
      <c r="A40">
        <v>38</v>
      </c>
      <c r="B40">
        <v>1175.4000000000001</v>
      </c>
      <c r="C40">
        <v>1154.93</v>
      </c>
      <c r="D40">
        <v>1190.29</v>
      </c>
      <c r="E40">
        <v>1161.1400000000001</v>
      </c>
      <c r="F40">
        <v>1156.02</v>
      </c>
      <c r="I40">
        <v>1164.23</v>
      </c>
      <c r="J40">
        <v>1186.6200000000001</v>
      </c>
      <c r="K40">
        <v>1168.0600000000002</v>
      </c>
      <c r="L40">
        <v>1188.21</v>
      </c>
      <c r="M40">
        <v>1167.06</v>
      </c>
      <c r="P40">
        <v>1163.32</v>
      </c>
      <c r="Q40">
        <v>1180.1099999999999</v>
      </c>
      <c r="R40">
        <v>1168.26</v>
      </c>
      <c r="S40">
        <v>1208.3999999999999</v>
      </c>
      <c r="T40">
        <v>1165.51</v>
      </c>
      <c r="W40">
        <v>676.62099999999998</v>
      </c>
      <c r="X40">
        <v>655.47799999999995</v>
      </c>
      <c r="Y40">
        <v>1431.75</v>
      </c>
      <c r="Z40">
        <v>1564.57</v>
      </c>
      <c r="AA40">
        <v>1478.53</v>
      </c>
      <c r="AD40">
        <v>646.03499999999997</v>
      </c>
      <c r="AE40">
        <v>661.78700000000003</v>
      </c>
      <c r="AF40">
        <v>1469.76</v>
      </c>
      <c r="AG40">
        <v>2140.6</v>
      </c>
      <c r="AH40">
        <v>1635.31</v>
      </c>
      <c r="AK40">
        <v>774.33900000000006</v>
      </c>
      <c r="AL40">
        <v>806.101</v>
      </c>
      <c r="AM40">
        <v>1617.87</v>
      </c>
      <c r="AN40">
        <v>1713.97</v>
      </c>
      <c r="AO40">
        <v>1632.01</v>
      </c>
    </row>
    <row r="41" spans="1:41" hidden="1">
      <c r="A41">
        <v>39</v>
      </c>
      <c r="B41">
        <v>1184.78</v>
      </c>
      <c r="C41">
        <v>1157.3400000000001</v>
      </c>
      <c r="D41">
        <v>1190.6000000000001</v>
      </c>
      <c r="E41">
        <v>1159.83</v>
      </c>
      <c r="F41">
        <v>1178.6600000000001</v>
      </c>
      <c r="I41">
        <v>1183.97</v>
      </c>
      <c r="J41">
        <v>1164.29</v>
      </c>
      <c r="K41">
        <v>1185.92</v>
      </c>
      <c r="L41">
        <v>1167.0700000000002</v>
      </c>
      <c r="M41">
        <v>1182.98</v>
      </c>
      <c r="P41">
        <v>1182.25</v>
      </c>
      <c r="Q41">
        <v>1158.21</v>
      </c>
      <c r="R41">
        <v>1182.3600000000001</v>
      </c>
      <c r="S41">
        <v>1165</v>
      </c>
      <c r="T41">
        <v>1178.51</v>
      </c>
      <c r="W41">
        <v>627.51499999999999</v>
      </c>
      <c r="X41">
        <v>656.38</v>
      </c>
      <c r="Y41">
        <v>1367.23</v>
      </c>
      <c r="Z41">
        <v>1482.51</v>
      </c>
      <c r="AA41">
        <v>1393.77</v>
      </c>
      <c r="AD41">
        <v>733.09699999999998</v>
      </c>
      <c r="AE41">
        <v>742.76599999999996</v>
      </c>
      <c r="AF41">
        <v>1682.07</v>
      </c>
      <c r="AG41">
        <v>2286.4499999999998</v>
      </c>
      <c r="AH41">
        <v>1626.82</v>
      </c>
      <c r="AK41">
        <v>783.39</v>
      </c>
      <c r="AL41">
        <v>713.61699999999996</v>
      </c>
      <c r="AM41">
        <v>1465.1</v>
      </c>
      <c r="AN41">
        <v>1548.96</v>
      </c>
      <c r="AO41">
        <v>1554.75</v>
      </c>
    </row>
    <row r="42" spans="1:41" hidden="1">
      <c r="A42">
        <v>40</v>
      </c>
      <c r="B42">
        <v>1158.05</v>
      </c>
      <c r="C42">
        <v>1260.23</v>
      </c>
      <c r="D42">
        <v>1164.55</v>
      </c>
      <c r="E42">
        <v>1185.8</v>
      </c>
      <c r="F42">
        <v>1156.4000000000001</v>
      </c>
      <c r="I42">
        <v>1164.49</v>
      </c>
      <c r="J42">
        <v>1191.1199999999999</v>
      </c>
      <c r="K42">
        <v>1255.67</v>
      </c>
      <c r="L42">
        <v>1192.3699999999999</v>
      </c>
      <c r="M42">
        <v>1166.1300000000001</v>
      </c>
      <c r="P42">
        <v>1162.18</v>
      </c>
      <c r="Q42">
        <v>1187.9299999999998</v>
      </c>
      <c r="R42">
        <v>1168.82</v>
      </c>
      <c r="S42">
        <v>1229.54</v>
      </c>
      <c r="T42">
        <v>1182.97</v>
      </c>
      <c r="W42">
        <v>688.81700000000001</v>
      </c>
      <c r="X42">
        <v>626.51599999999996</v>
      </c>
      <c r="Y42">
        <v>1554.14</v>
      </c>
      <c r="Z42">
        <v>1493.78</v>
      </c>
      <c r="AA42">
        <v>1419.48</v>
      </c>
      <c r="AD42">
        <v>683.24400000000003</v>
      </c>
      <c r="AE42">
        <v>670.52800000000002</v>
      </c>
      <c r="AF42">
        <v>1399.83</v>
      </c>
      <c r="AG42">
        <v>1915.33</v>
      </c>
      <c r="AH42">
        <v>1448.51</v>
      </c>
      <c r="AK42">
        <v>743.28</v>
      </c>
      <c r="AL42">
        <v>737.471</v>
      </c>
      <c r="AM42">
        <v>1642.66</v>
      </c>
      <c r="AN42">
        <v>1740.34</v>
      </c>
      <c r="AO42">
        <v>1612.08</v>
      </c>
    </row>
    <row r="43" spans="1:41" hidden="1">
      <c r="A43">
        <v>41</v>
      </c>
      <c r="B43">
        <v>1174.33</v>
      </c>
      <c r="C43">
        <v>1156.25</v>
      </c>
      <c r="D43">
        <v>1225.2</v>
      </c>
      <c r="E43">
        <v>1161.67</v>
      </c>
      <c r="F43">
        <v>1179.76</v>
      </c>
      <c r="I43">
        <v>1164.46</v>
      </c>
      <c r="J43">
        <v>1194.8600000000001</v>
      </c>
      <c r="K43">
        <v>1169.08</v>
      </c>
      <c r="L43">
        <v>1192.42</v>
      </c>
      <c r="M43">
        <v>1166.1699999999998</v>
      </c>
      <c r="P43">
        <v>1163.2</v>
      </c>
      <c r="Q43">
        <v>1177.23</v>
      </c>
      <c r="R43">
        <v>1173.08</v>
      </c>
      <c r="S43">
        <v>1185.5</v>
      </c>
      <c r="T43">
        <v>1159.43</v>
      </c>
      <c r="W43">
        <v>625.43499999999995</v>
      </c>
      <c r="X43">
        <v>628.44899999999996</v>
      </c>
      <c r="Y43">
        <v>1393.19</v>
      </c>
      <c r="Z43">
        <v>1453.66</v>
      </c>
      <c r="AA43">
        <v>1407.12</v>
      </c>
      <c r="AD43">
        <v>714.84500000000003</v>
      </c>
      <c r="AE43">
        <v>677.38900000000001</v>
      </c>
      <c r="AF43">
        <v>1464.31</v>
      </c>
      <c r="AG43">
        <v>2033.24</v>
      </c>
      <c r="AH43">
        <v>1572.42</v>
      </c>
      <c r="AK43">
        <v>765.18899999999996</v>
      </c>
      <c r="AL43">
        <v>771.60199999999998</v>
      </c>
      <c r="AM43">
        <v>1570.43</v>
      </c>
      <c r="AN43">
        <v>1775.23</v>
      </c>
      <c r="AO43">
        <v>1663.6</v>
      </c>
    </row>
    <row r="44" spans="1:41" hidden="1">
      <c r="A44">
        <v>42</v>
      </c>
      <c r="B44">
        <v>1156.1400000000001</v>
      </c>
      <c r="C44">
        <v>1174.82</v>
      </c>
      <c r="D44">
        <v>1164.19</v>
      </c>
      <c r="E44">
        <v>1160.74</v>
      </c>
      <c r="F44">
        <v>1179.4100000000001</v>
      </c>
      <c r="I44">
        <v>1189.98</v>
      </c>
      <c r="J44">
        <v>1165.3400000000001</v>
      </c>
      <c r="K44">
        <v>1206.5900000000001</v>
      </c>
      <c r="L44">
        <v>1165.71</v>
      </c>
      <c r="M44">
        <v>1192.57</v>
      </c>
      <c r="P44">
        <v>1188.7</v>
      </c>
      <c r="Q44">
        <v>1161.32</v>
      </c>
      <c r="R44">
        <v>1189.27</v>
      </c>
      <c r="S44">
        <v>1164.0600000000002</v>
      </c>
      <c r="T44">
        <v>1181.32</v>
      </c>
      <c r="W44">
        <v>672.55600000000004</v>
      </c>
      <c r="X44">
        <v>626.50599999999997</v>
      </c>
      <c r="Y44">
        <v>1511.2</v>
      </c>
      <c r="Z44">
        <v>1644.14</v>
      </c>
      <c r="AA44">
        <v>1442.6</v>
      </c>
      <c r="AD44">
        <v>779.39099999999996</v>
      </c>
      <c r="AE44">
        <v>750.88499999999999</v>
      </c>
      <c r="AF44">
        <v>1590.86</v>
      </c>
      <c r="AG44">
        <v>2181.29</v>
      </c>
      <c r="AH44">
        <v>1617.83</v>
      </c>
      <c r="AK44">
        <v>751.85400000000004</v>
      </c>
      <c r="AL44">
        <v>756.62199999999996</v>
      </c>
      <c r="AM44">
        <v>1475.3</v>
      </c>
      <c r="AN44">
        <v>1521.08</v>
      </c>
      <c r="AO44">
        <v>1467.05</v>
      </c>
    </row>
    <row r="45" spans="1:41" hidden="1">
      <c r="A45">
        <v>43</v>
      </c>
      <c r="B45">
        <v>1155.4000000000001</v>
      </c>
      <c r="C45">
        <v>1182.4399999999998</v>
      </c>
      <c r="D45">
        <v>1163.6500000000001</v>
      </c>
      <c r="E45">
        <v>1186.1299999999999</v>
      </c>
      <c r="F45">
        <v>1152.47</v>
      </c>
      <c r="I45">
        <v>1183.23</v>
      </c>
      <c r="J45">
        <v>1195.81</v>
      </c>
      <c r="K45">
        <v>1168.05</v>
      </c>
      <c r="L45">
        <v>1181.6100000000001</v>
      </c>
      <c r="M45">
        <v>1165.51</v>
      </c>
      <c r="P45">
        <v>1166.02</v>
      </c>
      <c r="Q45">
        <v>1184.04</v>
      </c>
      <c r="R45">
        <v>1172.58</v>
      </c>
      <c r="S45">
        <v>1191.54</v>
      </c>
      <c r="T45">
        <v>1158.8799999999999</v>
      </c>
      <c r="W45">
        <v>656.89300000000003</v>
      </c>
      <c r="X45">
        <v>628.84699999999998</v>
      </c>
      <c r="Y45">
        <v>1364.89</v>
      </c>
      <c r="Z45">
        <v>1488.06</v>
      </c>
      <c r="AA45">
        <v>1398.56</v>
      </c>
      <c r="AD45">
        <v>776.56899999999996</v>
      </c>
      <c r="AE45">
        <v>693.75300000000004</v>
      </c>
      <c r="AF45">
        <v>1379.62</v>
      </c>
      <c r="AG45">
        <v>1919.39</v>
      </c>
      <c r="AH45">
        <v>1445.21</v>
      </c>
      <c r="AK45">
        <v>694.27300000000002</v>
      </c>
      <c r="AL45">
        <v>710.80499999999995</v>
      </c>
      <c r="AM45">
        <v>1550.3</v>
      </c>
      <c r="AN45">
        <v>1720.74</v>
      </c>
      <c r="AO45">
        <v>1707.41</v>
      </c>
    </row>
    <row r="46" spans="1:41" hidden="1">
      <c r="A46">
        <v>44</v>
      </c>
      <c r="B46">
        <v>1173.49</v>
      </c>
      <c r="C46">
        <v>1156.3699999999999</v>
      </c>
      <c r="D46">
        <v>1184.24</v>
      </c>
      <c r="E46">
        <v>1161.01</v>
      </c>
      <c r="F46">
        <v>1152.26</v>
      </c>
      <c r="I46">
        <v>1188.6500000000001</v>
      </c>
      <c r="J46">
        <v>1167.77</v>
      </c>
      <c r="K46">
        <v>1193.8</v>
      </c>
      <c r="L46">
        <v>1166.1200000000001</v>
      </c>
      <c r="M46">
        <v>1166.79</v>
      </c>
      <c r="P46">
        <v>1163.82</v>
      </c>
      <c r="Q46">
        <v>1177.72</v>
      </c>
      <c r="R46">
        <v>1172.73</v>
      </c>
      <c r="S46">
        <v>1184.76</v>
      </c>
      <c r="T46">
        <v>1162.69</v>
      </c>
      <c r="W46">
        <v>701.16700000000003</v>
      </c>
      <c r="X46">
        <v>628.98699999999997</v>
      </c>
      <c r="Y46">
        <v>1476.64</v>
      </c>
      <c r="Z46">
        <v>1646.45</v>
      </c>
      <c r="AA46">
        <v>1628.7</v>
      </c>
      <c r="AD46">
        <v>798.29700000000003</v>
      </c>
      <c r="AE46">
        <v>685.69</v>
      </c>
      <c r="AF46">
        <v>1520.46</v>
      </c>
      <c r="AG46">
        <v>2138.56</v>
      </c>
      <c r="AH46">
        <v>1630.61</v>
      </c>
      <c r="AK46">
        <v>769.24</v>
      </c>
      <c r="AL46">
        <v>762.78</v>
      </c>
      <c r="AM46">
        <v>1579.35</v>
      </c>
      <c r="AN46">
        <v>1847.1</v>
      </c>
      <c r="AO46">
        <v>1652.2</v>
      </c>
    </row>
    <row r="47" spans="1:41" hidden="1">
      <c r="A47">
        <v>45</v>
      </c>
      <c r="B47">
        <v>1184.74</v>
      </c>
      <c r="C47">
        <v>1161.1400000000001</v>
      </c>
      <c r="D47">
        <v>1215.55</v>
      </c>
      <c r="E47">
        <v>1163.67</v>
      </c>
      <c r="F47">
        <v>1175.33</v>
      </c>
      <c r="I47">
        <v>1189.02</v>
      </c>
      <c r="J47">
        <v>1166.77</v>
      </c>
      <c r="K47">
        <v>1187.1600000000001</v>
      </c>
      <c r="L47">
        <v>1261.5899999999999</v>
      </c>
      <c r="M47">
        <v>1183.81</v>
      </c>
      <c r="P47">
        <v>1187.57</v>
      </c>
      <c r="Q47">
        <v>1156.5899999999999</v>
      </c>
      <c r="R47">
        <v>1183.9599999999998</v>
      </c>
      <c r="S47">
        <v>1160.8599999999999</v>
      </c>
      <c r="T47">
        <v>1199.5</v>
      </c>
      <c r="W47">
        <v>738.67100000000005</v>
      </c>
      <c r="X47">
        <v>755.404</v>
      </c>
      <c r="Y47">
        <v>1611.84</v>
      </c>
      <c r="Z47">
        <v>1706.58</v>
      </c>
      <c r="AA47">
        <v>1611.63</v>
      </c>
      <c r="AD47">
        <v>686.95399999999995</v>
      </c>
      <c r="AE47">
        <v>669.18799999999999</v>
      </c>
      <c r="AF47">
        <v>1408.19</v>
      </c>
      <c r="AG47">
        <v>1929.41</v>
      </c>
      <c r="AH47">
        <v>1539.35</v>
      </c>
      <c r="AK47">
        <v>719.92100000000005</v>
      </c>
      <c r="AL47">
        <v>699.58</v>
      </c>
      <c r="AM47">
        <v>1532.08</v>
      </c>
      <c r="AN47">
        <v>1784.43</v>
      </c>
      <c r="AO47">
        <v>1646.84</v>
      </c>
    </row>
    <row r="48" spans="1:41" hidden="1">
      <c r="A48">
        <v>46</v>
      </c>
      <c r="B48">
        <v>1159.8900000000001</v>
      </c>
      <c r="C48">
        <v>1168.6799999999998</v>
      </c>
      <c r="D48">
        <v>1163.3899999999999</v>
      </c>
      <c r="E48">
        <v>1193.3</v>
      </c>
      <c r="F48">
        <v>1155.6599999999999</v>
      </c>
      <c r="I48">
        <v>1164.1300000000001</v>
      </c>
      <c r="J48">
        <v>1197.22</v>
      </c>
      <c r="K48">
        <v>1167.17</v>
      </c>
      <c r="L48">
        <v>1188.1099999999999</v>
      </c>
      <c r="M48">
        <v>1183.6400000000001</v>
      </c>
      <c r="P48">
        <v>1165.1099999999999</v>
      </c>
      <c r="Q48">
        <v>1179.02</v>
      </c>
      <c r="R48">
        <v>1169.49</v>
      </c>
      <c r="S48">
        <v>1184.78</v>
      </c>
      <c r="T48">
        <v>1157.5800000000002</v>
      </c>
      <c r="W48">
        <v>812.85500000000002</v>
      </c>
      <c r="X48">
        <v>733.79700000000003</v>
      </c>
      <c r="Y48">
        <v>1528.11</v>
      </c>
      <c r="Z48">
        <v>1493.02</v>
      </c>
      <c r="AA48">
        <v>1428.93</v>
      </c>
      <c r="AD48">
        <v>741.50199999999995</v>
      </c>
      <c r="AE48">
        <v>758.93700000000001</v>
      </c>
      <c r="AF48">
        <v>1566.26</v>
      </c>
      <c r="AG48">
        <v>2205.25</v>
      </c>
      <c r="AH48">
        <v>1684.73</v>
      </c>
      <c r="AK48">
        <v>748.08</v>
      </c>
      <c r="AL48">
        <v>754.43700000000001</v>
      </c>
      <c r="AM48">
        <v>1630.79</v>
      </c>
      <c r="AN48">
        <v>1600.37</v>
      </c>
      <c r="AO48">
        <v>1465.1</v>
      </c>
    </row>
    <row r="49" spans="1:41" hidden="1">
      <c r="A49">
        <v>47</v>
      </c>
      <c r="B49">
        <v>1168.8399999999999</v>
      </c>
      <c r="C49">
        <v>1158.8899999999999</v>
      </c>
      <c r="D49">
        <v>1190.5</v>
      </c>
      <c r="E49">
        <v>1161.78</v>
      </c>
      <c r="F49">
        <v>1183.1499999999999</v>
      </c>
      <c r="I49">
        <v>1181.76</v>
      </c>
      <c r="J49">
        <v>1168.69</v>
      </c>
      <c r="K49">
        <v>1199.8699999999999</v>
      </c>
      <c r="L49">
        <v>1164.81</v>
      </c>
      <c r="M49">
        <v>1189.19</v>
      </c>
      <c r="P49">
        <v>1193.33</v>
      </c>
      <c r="Q49">
        <v>1159.69</v>
      </c>
      <c r="R49">
        <v>1194.45</v>
      </c>
      <c r="S49">
        <v>1165</v>
      </c>
      <c r="T49">
        <v>1159.01</v>
      </c>
      <c r="W49">
        <v>653.33100000000002</v>
      </c>
      <c r="X49">
        <v>738.971</v>
      </c>
      <c r="Y49">
        <v>1533.42</v>
      </c>
      <c r="Z49">
        <v>1595.62</v>
      </c>
      <c r="AA49">
        <v>1619.64</v>
      </c>
      <c r="AD49">
        <v>657.495</v>
      </c>
      <c r="AE49">
        <v>670.68</v>
      </c>
      <c r="AF49">
        <v>1418.2</v>
      </c>
      <c r="AG49">
        <v>1888.25</v>
      </c>
      <c r="AH49">
        <v>1442.94</v>
      </c>
      <c r="AK49">
        <v>719.75099999999998</v>
      </c>
      <c r="AL49">
        <v>674.57100000000003</v>
      </c>
      <c r="AM49">
        <v>1501.1</v>
      </c>
      <c r="AN49">
        <v>1540.04</v>
      </c>
      <c r="AO49">
        <v>1550.38</v>
      </c>
    </row>
    <row r="50" spans="1:41" hidden="1">
      <c r="A50">
        <v>48</v>
      </c>
      <c r="B50">
        <v>1184.99</v>
      </c>
      <c r="C50">
        <v>1196.6600000000001</v>
      </c>
      <c r="D50">
        <v>1165.22</v>
      </c>
      <c r="E50">
        <v>1162.08</v>
      </c>
      <c r="F50">
        <v>1189.01</v>
      </c>
      <c r="I50">
        <v>1167.69</v>
      </c>
      <c r="J50">
        <v>1194.8499999999999</v>
      </c>
      <c r="K50">
        <v>1166.32</v>
      </c>
      <c r="L50">
        <v>1191.51</v>
      </c>
      <c r="M50">
        <v>1167.95</v>
      </c>
      <c r="P50">
        <v>1189.3699999999999</v>
      </c>
      <c r="Q50">
        <v>1159.33</v>
      </c>
      <c r="R50">
        <v>1196.48</v>
      </c>
      <c r="S50">
        <v>1161.8800000000001</v>
      </c>
      <c r="T50">
        <v>1183.95</v>
      </c>
      <c r="W50">
        <v>810.66099999999994</v>
      </c>
      <c r="X50">
        <v>724.178</v>
      </c>
      <c r="Y50">
        <v>1657.31</v>
      </c>
      <c r="Z50">
        <v>1757.9</v>
      </c>
      <c r="AA50">
        <v>1581.23</v>
      </c>
      <c r="AD50">
        <v>645.02599999999995</v>
      </c>
      <c r="AE50">
        <v>670.07799999999997</v>
      </c>
      <c r="AF50">
        <v>1376.31</v>
      </c>
      <c r="AG50">
        <v>1891.47</v>
      </c>
      <c r="AH50">
        <v>1519.51</v>
      </c>
      <c r="AK50">
        <v>755.72799999999995</v>
      </c>
      <c r="AL50">
        <v>738.56200000000001</v>
      </c>
      <c r="AM50">
        <v>1652.08</v>
      </c>
      <c r="AN50">
        <v>1696.37</v>
      </c>
      <c r="AO50">
        <v>1644.8</v>
      </c>
    </row>
    <row r="51" spans="1:41" hidden="1">
      <c r="A51">
        <v>49</v>
      </c>
      <c r="B51">
        <v>1155.75</v>
      </c>
      <c r="C51">
        <v>1177.0700000000002</v>
      </c>
      <c r="D51">
        <v>1166.97</v>
      </c>
      <c r="E51">
        <v>1299.19</v>
      </c>
      <c r="F51">
        <v>1165.2</v>
      </c>
      <c r="I51">
        <v>1163.6300000000001</v>
      </c>
      <c r="J51">
        <v>1193.1300000000001</v>
      </c>
      <c r="K51">
        <v>1169.73</v>
      </c>
      <c r="L51">
        <v>1190.01</v>
      </c>
      <c r="M51">
        <v>1164.5</v>
      </c>
      <c r="P51">
        <v>1162.07</v>
      </c>
      <c r="Q51">
        <v>1184.24</v>
      </c>
      <c r="R51">
        <v>1176.3900000000001</v>
      </c>
      <c r="S51">
        <v>1181.44</v>
      </c>
      <c r="T51">
        <v>1156.29</v>
      </c>
      <c r="W51">
        <v>711.12400000000002</v>
      </c>
      <c r="X51">
        <v>731.90200000000004</v>
      </c>
      <c r="Y51">
        <v>1550.96</v>
      </c>
      <c r="Z51">
        <v>1572.38</v>
      </c>
      <c r="AA51">
        <v>1427.89</v>
      </c>
      <c r="AD51">
        <v>699.25699999999995</v>
      </c>
      <c r="AE51">
        <v>675.01900000000001</v>
      </c>
      <c r="AF51">
        <v>1474.81</v>
      </c>
      <c r="AG51">
        <v>1966.48</v>
      </c>
      <c r="AH51">
        <v>1620.46</v>
      </c>
      <c r="AK51">
        <v>742.47199999999998</v>
      </c>
      <c r="AL51">
        <v>792.88</v>
      </c>
      <c r="AM51">
        <v>1611.36</v>
      </c>
      <c r="AN51">
        <v>1758.37</v>
      </c>
      <c r="AO51">
        <v>1610.72</v>
      </c>
    </row>
    <row r="52" spans="1:41" hidden="1">
      <c r="A52">
        <v>50</v>
      </c>
      <c r="B52">
        <v>1176.97</v>
      </c>
      <c r="C52">
        <v>1155.07</v>
      </c>
      <c r="D52">
        <v>1269.3700000000001</v>
      </c>
      <c r="E52">
        <v>1170.79</v>
      </c>
      <c r="F52">
        <v>1178.26</v>
      </c>
      <c r="I52">
        <v>1189.0899999999999</v>
      </c>
      <c r="J52">
        <v>1176.45</v>
      </c>
      <c r="K52">
        <v>1187.5</v>
      </c>
      <c r="L52">
        <v>1165.3899999999999</v>
      </c>
      <c r="M52">
        <v>1296.1000000000001</v>
      </c>
      <c r="P52">
        <v>1190.97</v>
      </c>
      <c r="Q52">
        <v>1191.01</v>
      </c>
      <c r="R52">
        <v>1186.07</v>
      </c>
      <c r="S52">
        <v>1164.0600000000002</v>
      </c>
      <c r="T52">
        <v>1260.2</v>
      </c>
      <c r="W52">
        <v>728.755</v>
      </c>
      <c r="X52">
        <v>663.56500000000005</v>
      </c>
      <c r="Y52">
        <v>1518.81</v>
      </c>
      <c r="Z52">
        <v>1641.01</v>
      </c>
      <c r="AA52">
        <v>1460.79</v>
      </c>
      <c r="AD52">
        <v>784.98099999999999</v>
      </c>
      <c r="AE52">
        <v>774.04200000000003</v>
      </c>
      <c r="AF52">
        <v>1490.72</v>
      </c>
      <c r="AG52">
        <v>2018.71</v>
      </c>
      <c r="AH52">
        <v>1405.92</v>
      </c>
      <c r="AK52">
        <v>712.30100000000004</v>
      </c>
      <c r="AL52">
        <v>870.23400000000004</v>
      </c>
      <c r="AM52">
        <v>1486.29</v>
      </c>
      <c r="AN52">
        <v>1559.66</v>
      </c>
      <c r="AO52">
        <v>1459.92</v>
      </c>
    </row>
    <row r="53" spans="1:41" hidden="1">
      <c r="A53">
        <v>51</v>
      </c>
      <c r="B53">
        <v>1154.52</v>
      </c>
      <c r="C53">
        <v>1175.9599999999998</v>
      </c>
      <c r="D53">
        <v>1164.03</v>
      </c>
      <c r="E53">
        <v>1188.58</v>
      </c>
      <c r="F53">
        <v>1151.8200000000002</v>
      </c>
      <c r="I53">
        <v>1164.55</v>
      </c>
      <c r="J53">
        <v>1192.8600000000001</v>
      </c>
      <c r="K53">
        <v>1168.53</v>
      </c>
      <c r="L53">
        <v>1193.3700000000001</v>
      </c>
      <c r="M53">
        <v>1166.1999999999998</v>
      </c>
      <c r="P53">
        <v>1166.05</v>
      </c>
      <c r="Q53">
        <v>1156.8899999999999</v>
      </c>
      <c r="R53">
        <v>1193.3700000000001</v>
      </c>
      <c r="S53">
        <v>1162.67</v>
      </c>
      <c r="T53">
        <v>1184.8799999999999</v>
      </c>
      <c r="W53">
        <v>744.45500000000004</v>
      </c>
      <c r="X53">
        <v>762.68100000000004</v>
      </c>
      <c r="Y53">
        <v>1713</v>
      </c>
      <c r="Z53">
        <v>1656.24</v>
      </c>
      <c r="AA53">
        <v>1593</v>
      </c>
      <c r="AD53">
        <v>673.46799999999996</v>
      </c>
      <c r="AE53">
        <v>646.37699999999995</v>
      </c>
      <c r="AF53">
        <v>1377.12</v>
      </c>
      <c r="AG53">
        <v>1907.14</v>
      </c>
      <c r="AH53">
        <v>1439.33</v>
      </c>
      <c r="AK53">
        <v>710.95100000000002</v>
      </c>
      <c r="AL53">
        <v>676.03099999999995</v>
      </c>
      <c r="AM53">
        <v>1570.67</v>
      </c>
      <c r="AN53">
        <v>1677.24</v>
      </c>
      <c r="AO53">
        <v>1665.75</v>
      </c>
    </row>
    <row r="54" spans="1:41" hidden="1">
      <c r="A54">
        <v>52</v>
      </c>
      <c r="B54">
        <v>1192.0999999999999</v>
      </c>
      <c r="C54">
        <v>1161.54</v>
      </c>
      <c r="D54">
        <v>1180.76</v>
      </c>
      <c r="E54">
        <v>1164.79</v>
      </c>
      <c r="F54">
        <v>1157.45</v>
      </c>
      <c r="I54">
        <v>1187.18</v>
      </c>
      <c r="J54">
        <v>1166.8700000000001</v>
      </c>
      <c r="K54">
        <v>1193.6899999999998</v>
      </c>
      <c r="L54">
        <v>1168.3300000000002</v>
      </c>
      <c r="M54">
        <v>1190.28</v>
      </c>
      <c r="P54">
        <v>1167.3</v>
      </c>
      <c r="Q54">
        <v>1210.28</v>
      </c>
      <c r="R54">
        <v>1174.03</v>
      </c>
      <c r="S54">
        <v>1184.21</v>
      </c>
      <c r="T54">
        <v>1178.73</v>
      </c>
      <c r="W54">
        <v>843.02300000000002</v>
      </c>
      <c r="X54">
        <v>784.87300000000005</v>
      </c>
      <c r="Y54">
        <v>1483.9</v>
      </c>
      <c r="Z54">
        <v>1493.18</v>
      </c>
      <c r="AA54">
        <v>1483.17</v>
      </c>
      <c r="AD54">
        <v>649.71</v>
      </c>
      <c r="AE54">
        <v>646.14200000000005</v>
      </c>
      <c r="AF54">
        <v>1407.58</v>
      </c>
      <c r="AG54">
        <v>1913.63</v>
      </c>
      <c r="AH54">
        <v>1426.6</v>
      </c>
      <c r="AK54">
        <v>741.37800000000004</v>
      </c>
      <c r="AL54">
        <v>757.82799999999997</v>
      </c>
      <c r="AM54">
        <v>1618.32</v>
      </c>
      <c r="AN54">
        <v>1691.48</v>
      </c>
      <c r="AO54">
        <v>1523.95</v>
      </c>
    </row>
    <row r="55" spans="1:41" hidden="1">
      <c r="A55">
        <v>53</v>
      </c>
      <c r="B55">
        <v>1185.73</v>
      </c>
      <c r="C55">
        <v>1158.6399999999999</v>
      </c>
      <c r="D55">
        <v>1318.47</v>
      </c>
      <c r="E55">
        <v>1354.22</v>
      </c>
      <c r="F55">
        <v>1290.98</v>
      </c>
      <c r="I55">
        <v>1176.1099999999999</v>
      </c>
      <c r="J55">
        <v>1191.6100000000001</v>
      </c>
      <c r="K55">
        <v>1167.32</v>
      </c>
      <c r="L55">
        <v>1193.26</v>
      </c>
      <c r="M55">
        <v>1166.4000000000001</v>
      </c>
      <c r="P55">
        <v>1186.0999999999999</v>
      </c>
      <c r="Q55">
        <v>1156.0600000000002</v>
      </c>
      <c r="R55">
        <v>1188.42</v>
      </c>
      <c r="S55">
        <v>1165.5899999999999</v>
      </c>
      <c r="T55">
        <v>1190.96</v>
      </c>
      <c r="W55">
        <v>664.995</v>
      </c>
      <c r="X55">
        <v>665.18299999999999</v>
      </c>
      <c r="Y55">
        <v>1453.23</v>
      </c>
      <c r="Z55">
        <v>1586.29</v>
      </c>
      <c r="AA55">
        <v>1571.61</v>
      </c>
      <c r="AD55">
        <v>745.56899999999996</v>
      </c>
      <c r="AE55">
        <v>806.29499999999996</v>
      </c>
      <c r="AF55">
        <v>1669.72</v>
      </c>
      <c r="AG55">
        <v>2434.65</v>
      </c>
      <c r="AH55">
        <v>1611</v>
      </c>
      <c r="AK55">
        <v>690.22699999999998</v>
      </c>
      <c r="AL55">
        <v>670.39</v>
      </c>
      <c r="AM55">
        <v>1490.1</v>
      </c>
      <c r="AN55">
        <v>1622.81</v>
      </c>
      <c r="AO55">
        <v>1610.05</v>
      </c>
    </row>
    <row r="56" spans="1:41" hidden="1">
      <c r="A56">
        <v>54</v>
      </c>
      <c r="B56">
        <v>1220.6199999999999</v>
      </c>
      <c r="C56">
        <v>1257.77</v>
      </c>
      <c r="D56">
        <v>1168.6000000000001</v>
      </c>
      <c r="E56">
        <v>1191.33</v>
      </c>
      <c r="F56">
        <v>1152.8400000000001</v>
      </c>
      <c r="I56">
        <v>1164.83</v>
      </c>
      <c r="J56">
        <v>1181.1499999999999</v>
      </c>
      <c r="K56">
        <v>1169.67</v>
      </c>
      <c r="L56">
        <v>1193.27</v>
      </c>
      <c r="M56">
        <v>1166.83</v>
      </c>
      <c r="P56">
        <v>1162.01</v>
      </c>
      <c r="Q56">
        <v>1180.8000000000002</v>
      </c>
      <c r="R56">
        <v>1168.83</v>
      </c>
      <c r="S56">
        <v>1192.3399999999999</v>
      </c>
      <c r="T56">
        <v>1157.77</v>
      </c>
      <c r="W56">
        <v>737.58199999999999</v>
      </c>
      <c r="X56">
        <v>854.17499999999995</v>
      </c>
      <c r="Y56">
        <v>1558.28</v>
      </c>
      <c r="Z56">
        <v>1524.8</v>
      </c>
      <c r="AA56">
        <v>1395.8</v>
      </c>
      <c r="AD56">
        <v>813.23</v>
      </c>
      <c r="AE56">
        <v>734.32899999999995</v>
      </c>
      <c r="AF56">
        <v>1612.05</v>
      </c>
      <c r="AG56">
        <v>2140.5300000000002</v>
      </c>
      <c r="AH56">
        <v>1664.65</v>
      </c>
      <c r="AK56">
        <v>778.56899999999996</v>
      </c>
      <c r="AL56">
        <v>779.96100000000001</v>
      </c>
      <c r="AM56">
        <v>1655.85</v>
      </c>
      <c r="AN56">
        <v>1693.73</v>
      </c>
      <c r="AO56">
        <v>1642.64</v>
      </c>
    </row>
    <row r="57" spans="1:41" hidden="1">
      <c r="A57">
        <v>55</v>
      </c>
      <c r="B57">
        <v>1179.52</v>
      </c>
      <c r="C57">
        <v>1161.5999999999999</v>
      </c>
      <c r="D57">
        <v>1182.02</v>
      </c>
      <c r="E57">
        <v>1269.3900000000001</v>
      </c>
      <c r="F57">
        <v>1173.29</v>
      </c>
      <c r="I57">
        <v>1190.79</v>
      </c>
      <c r="J57">
        <v>1164.1200000000001</v>
      </c>
      <c r="K57">
        <v>1184.9000000000001</v>
      </c>
      <c r="L57">
        <v>1166.6300000000001</v>
      </c>
      <c r="M57">
        <v>1191.75</v>
      </c>
      <c r="P57">
        <v>1161.83</v>
      </c>
      <c r="Q57">
        <v>1184.27</v>
      </c>
      <c r="R57">
        <v>1171.0400000000002</v>
      </c>
      <c r="S57">
        <v>1192.1699999999998</v>
      </c>
      <c r="T57">
        <v>1159.9299999999998</v>
      </c>
      <c r="W57">
        <v>624.44299999999998</v>
      </c>
      <c r="X57">
        <v>655.75199999999995</v>
      </c>
      <c r="Y57">
        <v>1367.69</v>
      </c>
      <c r="Z57">
        <v>1492.93</v>
      </c>
      <c r="AA57">
        <v>1392.65</v>
      </c>
      <c r="AD57">
        <v>731.85199999999998</v>
      </c>
      <c r="AE57">
        <v>735.62300000000005</v>
      </c>
      <c r="AF57">
        <v>1535.34</v>
      </c>
      <c r="AG57">
        <v>1943.3</v>
      </c>
      <c r="AH57">
        <v>1402.67</v>
      </c>
      <c r="AK57">
        <v>867.16099999999994</v>
      </c>
      <c r="AL57">
        <v>759.29399999999998</v>
      </c>
      <c r="AM57">
        <v>1735.86</v>
      </c>
      <c r="AN57">
        <v>1896.46</v>
      </c>
      <c r="AO57">
        <v>1710.25</v>
      </c>
    </row>
    <row r="58" spans="1:41" hidden="1">
      <c r="A58">
        <v>56</v>
      </c>
      <c r="B58">
        <v>1149.2</v>
      </c>
      <c r="C58">
        <v>1189</v>
      </c>
      <c r="D58">
        <v>1163.24</v>
      </c>
      <c r="E58">
        <v>1187.6500000000001</v>
      </c>
      <c r="F58">
        <v>1162.0900000000001</v>
      </c>
      <c r="I58">
        <v>1200.31</v>
      </c>
      <c r="J58">
        <v>1196.01</v>
      </c>
      <c r="K58">
        <v>1167.19</v>
      </c>
      <c r="L58">
        <v>1189.51</v>
      </c>
      <c r="M58">
        <v>1167.1400000000001</v>
      </c>
      <c r="P58">
        <v>1186.57</v>
      </c>
      <c r="Q58">
        <v>1256.1100000000001</v>
      </c>
      <c r="R58">
        <v>1187.6500000000001</v>
      </c>
      <c r="S58">
        <v>1162.52</v>
      </c>
      <c r="T58">
        <v>1185.68</v>
      </c>
      <c r="W58">
        <v>712.64300000000003</v>
      </c>
      <c r="X58">
        <v>667.90300000000002</v>
      </c>
      <c r="Y58">
        <v>1493.87</v>
      </c>
      <c r="Z58">
        <v>1538.3</v>
      </c>
      <c r="AA58">
        <v>1463.79</v>
      </c>
      <c r="AD58">
        <v>665.226</v>
      </c>
      <c r="AE58">
        <v>648.9</v>
      </c>
      <c r="AF58">
        <v>1393.81</v>
      </c>
      <c r="AG58">
        <v>1956.51</v>
      </c>
      <c r="AH58">
        <v>1723.09</v>
      </c>
      <c r="AK58">
        <v>813.23800000000006</v>
      </c>
      <c r="AL58">
        <v>697.16800000000001</v>
      </c>
      <c r="AM58">
        <v>1488.91</v>
      </c>
      <c r="AN58">
        <v>1543.6</v>
      </c>
      <c r="AO58">
        <v>1509.38</v>
      </c>
    </row>
    <row r="59" spans="1:41" hidden="1">
      <c r="A59">
        <v>57</v>
      </c>
      <c r="B59">
        <v>1155.51</v>
      </c>
      <c r="C59">
        <v>1283.4000000000001</v>
      </c>
      <c r="D59">
        <v>1173.23</v>
      </c>
      <c r="E59">
        <v>1183.43</v>
      </c>
      <c r="F59">
        <v>1151.18</v>
      </c>
      <c r="I59">
        <v>1168.81</v>
      </c>
      <c r="J59">
        <v>1187.29</v>
      </c>
      <c r="K59">
        <v>1280.99</v>
      </c>
      <c r="L59">
        <v>1178.31</v>
      </c>
      <c r="M59">
        <v>1205.75</v>
      </c>
      <c r="P59">
        <v>1162.01</v>
      </c>
      <c r="Q59">
        <v>1192.1699999999998</v>
      </c>
      <c r="R59">
        <v>1195.5899999999999</v>
      </c>
      <c r="S59">
        <v>1200.0999999999999</v>
      </c>
      <c r="T59">
        <v>1159.53</v>
      </c>
      <c r="W59">
        <v>678.07</v>
      </c>
      <c r="X59">
        <v>767.06600000000003</v>
      </c>
      <c r="Y59">
        <v>1705.7</v>
      </c>
      <c r="Z59">
        <v>1639.18</v>
      </c>
      <c r="AA59">
        <v>1483.18</v>
      </c>
      <c r="AD59">
        <v>750.28</v>
      </c>
      <c r="AE59">
        <v>737.44500000000005</v>
      </c>
      <c r="AF59">
        <v>1616.99</v>
      </c>
      <c r="AG59">
        <v>2147.5700000000002</v>
      </c>
      <c r="AH59">
        <v>1667.33</v>
      </c>
      <c r="AK59">
        <v>698.23900000000003</v>
      </c>
      <c r="AL59">
        <v>734.60799999999995</v>
      </c>
      <c r="AM59">
        <v>1659.02</v>
      </c>
      <c r="AN59">
        <v>1646.52</v>
      </c>
      <c r="AO59">
        <v>1643.19</v>
      </c>
    </row>
    <row r="60" spans="1:41" hidden="1">
      <c r="A60">
        <v>58</v>
      </c>
      <c r="B60">
        <v>1170.25</v>
      </c>
      <c r="C60">
        <v>1156.26</v>
      </c>
      <c r="D60">
        <v>1186.27</v>
      </c>
      <c r="E60">
        <v>1162.3799999999999</v>
      </c>
      <c r="F60">
        <v>1182.2299999999998</v>
      </c>
      <c r="I60">
        <v>1202.1199999999999</v>
      </c>
      <c r="J60">
        <v>1178.8300000000002</v>
      </c>
      <c r="K60">
        <v>1184.1299999999999</v>
      </c>
      <c r="L60">
        <v>1167.1199999999999</v>
      </c>
      <c r="M60">
        <v>1185.57</v>
      </c>
      <c r="P60">
        <v>1184.1600000000001</v>
      </c>
      <c r="Q60">
        <v>1159.8900000000001</v>
      </c>
      <c r="R60">
        <v>1195.22</v>
      </c>
      <c r="S60">
        <v>1170.6600000000001</v>
      </c>
      <c r="T60">
        <v>1184.78</v>
      </c>
      <c r="W60">
        <v>701.65899999999999</v>
      </c>
      <c r="X60">
        <v>628.44899999999996</v>
      </c>
      <c r="Y60">
        <v>1467.19</v>
      </c>
      <c r="Z60">
        <v>1505.78</v>
      </c>
      <c r="AA60">
        <v>1412.19</v>
      </c>
      <c r="AD60">
        <v>874.65099999999995</v>
      </c>
      <c r="AE60">
        <v>824.45600000000002</v>
      </c>
      <c r="AF60">
        <v>1441.01</v>
      </c>
      <c r="AG60">
        <v>1942.59</v>
      </c>
      <c r="AH60">
        <v>1416.35</v>
      </c>
      <c r="AK60">
        <v>789.322</v>
      </c>
      <c r="AL60">
        <v>772.03499999999997</v>
      </c>
      <c r="AM60">
        <v>1602.06</v>
      </c>
      <c r="AN60">
        <v>1781.95</v>
      </c>
      <c r="AO60">
        <v>1480.77</v>
      </c>
    </row>
    <row r="61" spans="1:41" hidden="1">
      <c r="A61">
        <v>59</v>
      </c>
      <c r="B61">
        <v>1154.8</v>
      </c>
      <c r="C61">
        <v>1188.78</v>
      </c>
      <c r="D61">
        <v>1682.92</v>
      </c>
      <c r="E61">
        <v>2146.3399999999997</v>
      </c>
      <c r="F61">
        <v>1194.43</v>
      </c>
      <c r="I61">
        <v>1166.25</v>
      </c>
      <c r="J61">
        <v>1190.0900000000001</v>
      </c>
      <c r="K61">
        <v>1166.8400000000001</v>
      </c>
      <c r="L61">
        <v>1191.6100000000001</v>
      </c>
      <c r="M61">
        <v>1165.1199999999999</v>
      </c>
      <c r="P61">
        <v>1162.08</v>
      </c>
      <c r="Q61">
        <v>1158.48</v>
      </c>
      <c r="R61">
        <v>1196.46</v>
      </c>
      <c r="S61">
        <v>1164.6000000000001</v>
      </c>
      <c r="T61">
        <v>1203.8399999999999</v>
      </c>
      <c r="W61">
        <v>624.15099999999995</v>
      </c>
      <c r="X61">
        <v>656.97699999999998</v>
      </c>
      <c r="Y61">
        <v>1376.78</v>
      </c>
      <c r="Z61">
        <v>1516.95</v>
      </c>
      <c r="AA61">
        <v>1702.5</v>
      </c>
      <c r="AD61">
        <v>748.86199999999997</v>
      </c>
      <c r="AE61">
        <v>706.11599999999999</v>
      </c>
      <c r="AF61">
        <v>1627.49</v>
      </c>
      <c r="AG61">
        <v>2226.84</v>
      </c>
      <c r="AH61">
        <v>1589.82</v>
      </c>
      <c r="AK61">
        <v>739.928</v>
      </c>
      <c r="AL61">
        <v>703.60500000000002</v>
      </c>
      <c r="AM61">
        <v>1441.38</v>
      </c>
      <c r="AN61">
        <v>1621.36</v>
      </c>
      <c r="AO61">
        <v>1643.64</v>
      </c>
    </row>
    <row r="62" spans="1:41" hidden="1">
      <c r="A62">
        <v>60</v>
      </c>
      <c r="B62">
        <v>1173.92</v>
      </c>
      <c r="C62">
        <v>1225</v>
      </c>
      <c r="D62">
        <v>1182.04</v>
      </c>
      <c r="E62">
        <v>1566.17</v>
      </c>
      <c r="F62">
        <v>1171.67</v>
      </c>
      <c r="I62">
        <v>1187.6500000000001</v>
      </c>
      <c r="J62">
        <v>1162.9499999999998</v>
      </c>
      <c r="K62">
        <v>1196.46</v>
      </c>
      <c r="L62">
        <v>1163.6899999999998</v>
      </c>
      <c r="M62">
        <v>1188.57</v>
      </c>
      <c r="P62">
        <v>1242.6600000000001</v>
      </c>
      <c r="Q62">
        <v>1189.48</v>
      </c>
      <c r="R62">
        <v>1169.57</v>
      </c>
      <c r="S62">
        <v>1190.99</v>
      </c>
      <c r="T62">
        <v>1170.73</v>
      </c>
      <c r="W62">
        <v>904.78099999999995</v>
      </c>
      <c r="X62">
        <v>784.65</v>
      </c>
      <c r="Y62">
        <v>1778.51</v>
      </c>
      <c r="Z62">
        <v>1872.27</v>
      </c>
      <c r="AA62">
        <v>1617.51</v>
      </c>
      <c r="AD62">
        <v>747.17700000000002</v>
      </c>
      <c r="AE62">
        <v>748.16800000000001</v>
      </c>
      <c r="AF62">
        <v>1650.23</v>
      </c>
      <c r="AG62">
        <v>2203.44</v>
      </c>
      <c r="AH62">
        <v>1458.87</v>
      </c>
      <c r="AK62">
        <v>798.15099999999995</v>
      </c>
      <c r="AL62">
        <v>700.00300000000004</v>
      </c>
      <c r="AM62">
        <v>1627.09</v>
      </c>
      <c r="AN62">
        <v>1788.69</v>
      </c>
      <c r="AO62">
        <v>1618.95</v>
      </c>
    </row>
    <row r="63" spans="1:41" hidden="1">
      <c r="A63">
        <v>61</v>
      </c>
      <c r="B63">
        <v>1218.31</v>
      </c>
      <c r="C63">
        <v>1649.88</v>
      </c>
      <c r="D63">
        <v>3122.36</v>
      </c>
      <c r="E63">
        <v>1208.5900000000001</v>
      </c>
      <c r="F63">
        <v>1188.25</v>
      </c>
      <c r="I63">
        <v>1230.56</v>
      </c>
      <c r="J63">
        <v>1191.3899999999999</v>
      </c>
      <c r="K63">
        <v>1168.6000000000001</v>
      </c>
      <c r="L63">
        <v>1167.1100000000001</v>
      </c>
      <c r="M63">
        <v>1217.76</v>
      </c>
      <c r="P63">
        <v>1180.68</v>
      </c>
      <c r="Q63">
        <v>1250.6600000000001</v>
      </c>
      <c r="R63">
        <v>1195.43</v>
      </c>
      <c r="S63">
        <v>1167.53</v>
      </c>
      <c r="T63">
        <v>1179.71</v>
      </c>
      <c r="W63">
        <v>689.66300000000001</v>
      </c>
      <c r="X63">
        <v>656.76300000000003</v>
      </c>
      <c r="Y63">
        <v>1450.22</v>
      </c>
      <c r="Z63">
        <v>1546.86</v>
      </c>
      <c r="AA63">
        <v>1544.56</v>
      </c>
      <c r="AD63">
        <v>672.93899999999996</v>
      </c>
      <c r="AE63">
        <v>684.79</v>
      </c>
      <c r="AF63">
        <v>1378.61</v>
      </c>
      <c r="AG63">
        <v>1911.97</v>
      </c>
      <c r="AH63">
        <v>1466.98</v>
      </c>
      <c r="AK63">
        <v>830.50599999999997</v>
      </c>
      <c r="AL63">
        <v>759.298</v>
      </c>
      <c r="AM63">
        <v>1634.66</v>
      </c>
      <c r="AN63">
        <v>1684.11</v>
      </c>
      <c r="AO63">
        <v>1641.54</v>
      </c>
    </row>
    <row r="64" spans="1:41" hidden="1">
      <c r="A64">
        <v>62</v>
      </c>
      <c r="B64">
        <v>1203.5</v>
      </c>
      <c r="C64">
        <v>1205.48</v>
      </c>
      <c r="D64">
        <v>1193.1600000000001</v>
      </c>
      <c r="E64">
        <v>1176.0600000000002</v>
      </c>
      <c r="F64">
        <v>1199.33</v>
      </c>
      <c r="I64">
        <v>1165.58</v>
      </c>
      <c r="J64">
        <v>1192.6099999999999</v>
      </c>
      <c r="K64">
        <v>1170.0900000000001</v>
      </c>
      <c r="L64">
        <v>1196.19</v>
      </c>
      <c r="M64">
        <v>1167.44</v>
      </c>
      <c r="P64">
        <v>1169.25</v>
      </c>
      <c r="Q64">
        <v>1158.81</v>
      </c>
      <c r="R64">
        <v>1198.3999999999999</v>
      </c>
      <c r="S64">
        <v>1164.8400000000001</v>
      </c>
      <c r="T64">
        <v>1185.3800000000001</v>
      </c>
      <c r="W64">
        <v>761.08799999999997</v>
      </c>
      <c r="X64">
        <v>713.13400000000001</v>
      </c>
      <c r="Y64">
        <v>1638.26</v>
      </c>
      <c r="Z64">
        <v>1719.66</v>
      </c>
      <c r="AA64">
        <v>1499.2</v>
      </c>
      <c r="AD64">
        <v>696.00699999999995</v>
      </c>
      <c r="AE64">
        <v>774.053</v>
      </c>
      <c r="AF64">
        <v>1594.59</v>
      </c>
      <c r="AG64">
        <v>2209.88</v>
      </c>
      <c r="AH64">
        <v>1491.35</v>
      </c>
      <c r="AK64">
        <v>801.01700000000005</v>
      </c>
      <c r="AL64">
        <v>745.35799999999995</v>
      </c>
      <c r="AM64">
        <v>1500.7</v>
      </c>
      <c r="AN64">
        <v>1617.04</v>
      </c>
      <c r="AO64">
        <v>1494</v>
      </c>
    </row>
    <row r="65" spans="1:41" hidden="1">
      <c r="A65">
        <v>63</v>
      </c>
      <c r="B65">
        <v>1186.97</v>
      </c>
      <c r="C65">
        <v>1201.1199999999999</v>
      </c>
      <c r="D65">
        <v>1195.73</v>
      </c>
      <c r="E65">
        <v>1246.27</v>
      </c>
      <c r="F65">
        <v>1194</v>
      </c>
      <c r="I65">
        <v>1192.21</v>
      </c>
      <c r="J65">
        <v>1168.3300000000002</v>
      </c>
      <c r="K65">
        <v>1190.6000000000001</v>
      </c>
      <c r="L65">
        <v>1166.4099999999999</v>
      </c>
      <c r="M65">
        <v>1190.73</v>
      </c>
      <c r="P65">
        <v>1161.01</v>
      </c>
      <c r="Q65">
        <v>1179.22</v>
      </c>
      <c r="R65">
        <v>1169.94</v>
      </c>
      <c r="S65">
        <v>1203.3400000000001</v>
      </c>
      <c r="T65">
        <v>1158.6300000000001</v>
      </c>
      <c r="W65">
        <v>661.11900000000003</v>
      </c>
      <c r="X65">
        <v>667.74599999999998</v>
      </c>
      <c r="Y65">
        <v>1443.63</v>
      </c>
      <c r="Z65">
        <v>1504.62</v>
      </c>
      <c r="AA65">
        <v>1695.17</v>
      </c>
      <c r="AD65">
        <v>687.74400000000003</v>
      </c>
      <c r="AE65">
        <v>673.745</v>
      </c>
      <c r="AF65">
        <v>1417.32</v>
      </c>
      <c r="AG65">
        <v>1981.85</v>
      </c>
      <c r="AH65">
        <v>1648.87</v>
      </c>
      <c r="AK65">
        <v>685.79499999999996</v>
      </c>
      <c r="AL65">
        <v>786.697</v>
      </c>
      <c r="AM65">
        <v>1569.15</v>
      </c>
      <c r="AN65">
        <v>1735.73</v>
      </c>
      <c r="AO65">
        <v>1652.12</v>
      </c>
    </row>
    <row r="66" spans="1:41" hidden="1">
      <c r="A66">
        <v>64</v>
      </c>
      <c r="B66">
        <v>1216.95</v>
      </c>
      <c r="C66">
        <v>1217.94</v>
      </c>
      <c r="D66">
        <v>1194.99</v>
      </c>
      <c r="E66">
        <v>1193.8800000000001</v>
      </c>
      <c r="F66">
        <v>1201.0899999999999</v>
      </c>
      <c r="I66">
        <v>1165.25</v>
      </c>
      <c r="J66">
        <v>1181.3499999999999</v>
      </c>
      <c r="K66">
        <v>1168.03</v>
      </c>
      <c r="L66">
        <v>1184.3</v>
      </c>
      <c r="M66">
        <v>1168.54</v>
      </c>
      <c r="P66">
        <v>1186.8499999999999</v>
      </c>
      <c r="Q66">
        <v>1160.52</v>
      </c>
      <c r="R66">
        <v>1188.8799999999999</v>
      </c>
      <c r="S66">
        <v>1177.6500000000001</v>
      </c>
      <c r="T66">
        <v>1179.95</v>
      </c>
      <c r="W66">
        <v>771.94200000000001</v>
      </c>
      <c r="X66">
        <v>759.63</v>
      </c>
      <c r="Y66">
        <v>1629.22</v>
      </c>
      <c r="Z66">
        <v>1728.31</v>
      </c>
      <c r="AA66">
        <v>1673.78</v>
      </c>
      <c r="AD66">
        <v>712.39499999999998</v>
      </c>
      <c r="AE66">
        <v>757.85699999999997</v>
      </c>
      <c r="AF66">
        <v>1456.82</v>
      </c>
      <c r="AG66">
        <v>2029.52</v>
      </c>
      <c r="AH66">
        <v>1468.36</v>
      </c>
      <c r="AK66">
        <v>747.57500000000005</v>
      </c>
      <c r="AL66">
        <v>757.01400000000001</v>
      </c>
      <c r="AM66">
        <v>1656.45</v>
      </c>
      <c r="AN66">
        <v>1752.33</v>
      </c>
      <c r="AO66">
        <v>1637.06</v>
      </c>
    </row>
    <row r="67" spans="1:41" hidden="1">
      <c r="A67">
        <v>65</v>
      </c>
      <c r="B67">
        <v>1171.2</v>
      </c>
      <c r="C67">
        <v>1483.8700000000001</v>
      </c>
      <c r="D67">
        <v>1389.51</v>
      </c>
      <c r="E67">
        <v>1195.22</v>
      </c>
      <c r="F67">
        <v>1208</v>
      </c>
      <c r="I67">
        <v>1192.71</v>
      </c>
      <c r="J67">
        <v>1246.21</v>
      </c>
      <c r="K67">
        <v>1168.8</v>
      </c>
      <c r="L67">
        <v>1191.3499999999999</v>
      </c>
      <c r="M67">
        <v>1166.98</v>
      </c>
      <c r="P67">
        <v>1163.69</v>
      </c>
      <c r="Q67">
        <v>1177.05</v>
      </c>
      <c r="R67">
        <v>1168.3900000000001</v>
      </c>
      <c r="S67">
        <v>1181.49</v>
      </c>
      <c r="T67">
        <v>1164.4699999999998</v>
      </c>
      <c r="W67">
        <v>734.89099999999996</v>
      </c>
      <c r="X67">
        <v>760.54700000000003</v>
      </c>
      <c r="Y67">
        <v>1529.71</v>
      </c>
      <c r="Z67">
        <v>1497.44</v>
      </c>
      <c r="AA67">
        <v>1457.6</v>
      </c>
      <c r="AD67">
        <v>700.45</v>
      </c>
      <c r="AE67">
        <v>704.68200000000002</v>
      </c>
      <c r="AF67">
        <v>1473.54</v>
      </c>
      <c r="AG67">
        <v>2015.53</v>
      </c>
      <c r="AH67">
        <v>1627.5</v>
      </c>
      <c r="AK67">
        <v>705.33100000000002</v>
      </c>
      <c r="AL67">
        <v>702.29</v>
      </c>
      <c r="AM67">
        <v>1451.88</v>
      </c>
      <c r="AN67">
        <v>1575.23</v>
      </c>
      <c r="AO67">
        <v>1521.56</v>
      </c>
    </row>
    <row r="68" spans="1:41" hidden="1">
      <c r="A68">
        <v>66</v>
      </c>
      <c r="B68">
        <v>1203.5899999999999</v>
      </c>
      <c r="C68">
        <v>1186.46</v>
      </c>
      <c r="D68">
        <v>1207.6400000000001</v>
      </c>
      <c r="E68">
        <v>1203.71</v>
      </c>
      <c r="F68">
        <v>1200.01</v>
      </c>
      <c r="I68">
        <v>1188.77</v>
      </c>
      <c r="J68">
        <v>1238.26</v>
      </c>
      <c r="K68">
        <v>1211.1499999999999</v>
      </c>
      <c r="L68">
        <v>1167.83</v>
      </c>
      <c r="M68">
        <v>1191.43</v>
      </c>
      <c r="P68">
        <v>1165.0999999999999</v>
      </c>
      <c r="Q68">
        <v>1178.6199999999999</v>
      </c>
      <c r="R68">
        <v>1182.5</v>
      </c>
      <c r="S68">
        <v>1384.45</v>
      </c>
      <c r="T68">
        <v>1168.53</v>
      </c>
      <c r="W68">
        <v>744.22900000000004</v>
      </c>
      <c r="X68">
        <v>656.92899999999997</v>
      </c>
      <c r="Y68">
        <v>1472.51</v>
      </c>
      <c r="Z68">
        <v>1638.07</v>
      </c>
      <c r="AA68">
        <v>1643.54</v>
      </c>
      <c r="AD68">
        <v>822.92499999999995</v>
      </c>
      <c r="AE68">
        <v>721.51099999999997</v>
      </c>
      <c r="AF68">
        <v>1501.8</v>
      </c>
      <c r="AG68">
        <v>2118.83</v>
      </c>
      <c r="AH68">
        <v>1665.61</v>
      </c>
      <c r="AK68">
        <v>813.39</v>
      </c>
      <c r="AL68">
        <v>760.26700000000005</v>
      </c>
      <c r="AM68">
        <v>1610.8</v>
      </c>
      <c r="AN68">
        <v>1702.74</v>
      </c>
      <c r="AO68">
        <v>1589.77</v>
      </c>
    </row>
    <row r="69" spans="1:41" hidden="1">
      <c r="A69">
        <v>67</v>
      </c>
      <c r="B69">
        <v>1171.74</v>
      </c>
      <c r="C69">
        <v>1178.8900000000001</v>
      </c>
      <c r="D69">
        <v>1214.6099999999999</v>
      </c>
      <c r="E69">
        <v>1190.26</v>
      </c>
      <c r="F69">
        <v>1192.49</v>
      </c>
      <c r="I69">
        <v>1163.26</v>
      </c>
      <c r="J69">
        <v>1194.45</v>
      </c>
      <c r="K69">
        <v>1168.3499999999999</v>
      </c>
      <c r="L69">
        <v>1197.25</v>
      </c>
      <c r="M69">
        <v>1166.0900000000001</v>
      </c>
      <c r="P69">
        <v>1189.1199999999999</v>
      </c>
      <c r="Q69">
        <v>1160.52</v>
      </c>
      <c r="R69">
        <v>1200.04</v>
      </c>
      <c r="S69">
        <v>1182.93</v>
      </c>
      <c r="T69">
        <v>1254.69</v>
      </c>
      <c r="W69">
        <v>741.45299999999997</v>
      </c>
      <c r="X69">
        <v>761.74099999999999</v>
      </c>
      <c r="Y69">
        <v>1568.53</v>
      </c>
      <c r="Z69">
        <v>1737.97</v>
      </c>
      <c r="AA69">
        <v>1624.24</v>
      </c>
      <c r="AD69">
        <v>842.60400000000004</v>
      </c>
      <c r="AE69">
        <v>838.37599999999998</v>
      </c>
      <c r="AF69">
        <v>1688.46</v>
      </c>
      <c r="AG69">
        <v>2172.34</v>
      </c>
      <c r="AH69">
        <v>1464.34</v>
      </c>
      <c r="AK69">
        <v>780.79300000000001</v>
      </c>
      <c r="AL69">
        <v>726.16600000000005</v>
      </c>
      <c r="AM69">
        <v>1428.73</v>
      </c>
      <c r="AN69">
        <v>1486.14</v>
      </c>
      <c r="AO69">
        <v>1503.06</v>
      </c>
    </row>
    <row r="70" spans="1:41" hidden="1">
      <c r="A70">
        <v>68</v>
      </c>
      <c r="B70">
        <v>1170.1600000000001</v>
      </c>
      <c r="C70">
        <v>1194.31</v>
      </c>
      <c r="D70">
        <v>1172.01</v>
      </c>
      <c r="E70">
        <v>1199.5800000000002</v>
      </c>
      <c r="F70">
        <v>1186.1299999999999</v>
      </c>
      <c r="I70">
        <v>1182.98</v>
      </c>
      <c r="J70">
        <v>1169</v>
      </c>
      <c r="K70">
        <v>1195.8699999999999</v>
      </c>
      <c r="L70">
        <v>1169.29</v>
      </c>
      <c r="M70">
        <v>1166.25</v>
      </c>
      <c r="P70">
        <v>1155.6500000000001</v>
      </c>
      <c r="Q70">
        <v>1183.6500000000001</v>
      </c>
      <c r="R70">
        <v>1170.58</v>
      </c>
      <c r="S70">
        <v>1189.98</v>
      </c>
      <c r="T70">
        <v>1159.92</v>
      </c>
      <c r="W70">
        <v>769.70899999999995</v>
      </c>
      <c r="X70">
        <v>661.06200000000001</v>
      </c>
      <c r="Y70">
        <v>1469.66</v>
      </c>
      <c r="Z70">
        <v>1578.55</v>
      </c>
      <c r="AA70">
        <v>1466.56</v>
      </c>
      <c r="AD70">
        <v>673.02</v>
      </c>
      <c r="AE70">
        <v>710.38599999999997</v>
      </c>
      <c r="AF70">
        <v>1423.19</v>
      </c>
      <c r="AG70">
        <v>2181.0100000000002</v>
      </c>
      <c r="AH70">
        <v>1635.11</v>
      </c>
      <c r="AK70">
        <v>661.36</v>
      </c>
      <c r="AL70">
        <v>648.07299999999998</v>
      </c>
      <c r="AM70">
        <v>1425.58</v>
      </c>
      <c r="AN70">
        <v>1591.95</v>
      </c>
      <c r="AO70">
        <v>1417.57</v>
      </c>
    </row>
    <row r="71" spans="1:41" hidden="1">
      <c r="A71">
        <v>69</v>
      </c>
      <c r="B71">
        <v>1195.81</v>
      </c>
      <c r="C71">
        <v>1170.97</v>
      </c>
      <c r="D71">
        <v>1186.26</v>
      </c>
      <c r="E71">
        <v>1206.81</v>
      </c>
      <c r="F71">
        <v>1169.71</v>
      </c>
      <c r="I71">
        <v>1209.6099999999999</v>
      </c>
      <c r="J71">
        <v>1165.54</v>
      </c>
      <c r="K71">
        <v>1185.1799999999998</v>
      </c>
      <c r="L71">
        <v>1164.6399999999999</v>
      </c>
      <c r="M71">
        <v>1183.95</v>
      </c>
      <c r="P71">
        <v>1214.6500000000001</v>
      </c>
      <c r="Q71">
        <v>1158.67</v>
      </c>
      <c r="R71">
        <v>1195.8800000000001</v>
      </c>
      <c r="S71">
        <v>1169.7900000000002</v>
      </c>
      <c r="T71">
        <v>1194.28</v>
      </c>
      <c r="W71">
        <v>704.76499999999999</v>
      </c>
      <c r="X71">
        <v>754.90800000000002</v>
      </c>
      <c r="Y71">
        <v>1527.26</v>
      </c>
      <c r="Z71">
        <v>1700.65</v>
      </c>
      <c r="AA71">
        <v>1582.84</v>
      </c>
      <c r="AD71">
        <v>737.25800000000004</v>
      </c>
      <c r="AE71">
        <v>794.96799999999996</v>
      </c>
      <c r="AF71">
        <v>1582.83</v>
      </c>
      <c r="AG71">
        <v>2143.83</v>
      </c>
      <c r="AH71">
        <v>1432.22</v>
      </c>
      <c r="AK71">
        <v>696.86</v>
      </c>
      <c r="AL71">
        <v>719.18499999999995</v>
      </c>
      <c r="AM71">
        <v>1455.11</v>
      </c>
      <c r="AN71">
        <v>1571.86</v>
      </c>
      <c r="AO71">
        <v>1526.43</v>
      </c>
    </row>
    <row r="72" spans="1:41" hidden="1">
      <c r="A72">
        <v>70</v>
      </c>
      <c r="B72">
        <v>1187.17</v>
      </c>
      <c r="C72">
        <v>1209.8</v>
      </c>
      <c r="D72">
        <v>1199.26</v>
      </c>
      <c r="E72">
        <v>1304.03</v>
      </c>
      <c r="F72">
        <v>1200.1599999999999</v>
      </c>
      <c r="I72">
        <v>1165.77</v>
      </c>
      <c r="J72">
        <v>1185.23</v>
      </c>
      <c r="K72">
        <v>1168.49</v>
      </c>
      <c r="L72">
        <v>1193.76</v>
      </c>
      <c r="M72">
        <v>1166.3</v>
      </c>
      <c r="P72">
        <v>1155.08</v>
      </c>
      <c r="Q72">
        <v>1159.49</v>
      </c>
      <c r="R72">
        <v>1199.0700000000002</v>
      </c>
      <c r="S72">
        <v>1167.9299999999998</v>
      </c>
      <c r="T72">
        <v>1185.6100000000001</v>
      </c>
      <c r="W72">
        <v>844.90099999999995</v>
      </c>
      <c r="X72">
        <v>762.86199999999997</v>
      </c>
      <c r="Y72">
        <v>1694.75</v>
      </c>
      <c r="Z72">
        <v>1566.86</v>
      </c>
      <c r="AA72">
        <v>1502.19</v>
      </c>
      <c r="AD72">
        <v>689.83900000000006</v>
      </c>
      <c r="AE72">
        <v>706.63599999999997</v>
      </c>
      <c r="AF72">
        <v>1432.67</v>
      </c>
      <c r="AG72">
        <v>1977.32</v>
      </c>
      <c r="AH72">
        <v>1614.27</v>
      </c>
      <c r="AK72">
        <v>730.50199999999995</v>
      </c>
      <c r="AL72">
        <v>755.41899999999998</v>
      </c>
      <c r="AM72">
        <v>1592.69</v>
      </c>
      <c r="AN72">
        <v>1703.89</v>
      </c>
      <c r="AO72">
        <v>1431.96</v>
      </c>
    </row>
    <row r="73" spans="1:41" hidden="1">
      <c r="A73">
        <v>71</v>
      </c>
      <c r="B73">
        <v>1174.8399999999999</v>
      </c>
      <c r="C73">
        <v>1211.49</v>
      </c>
      <c r="D73">
        <v>1183.02</v>
      </c>
      <c r="E73">
        <v>1199.92</v>
      </c>
      <c r="F73">
        <v>1170.43</v>
      </c>
      <c r="I73">
        <v>1190.76</v>
      </c>
      <c r="J73">
        <v>1167.68</v>
      </c>
      <c r="K73">
        <v>1299.27</v>
      </c>
      <c r="L73">
        <v>1190.3900000000001</v>
      </c>
      <c r="M73">
        <v>1191.9100000000001</v>
      </c>
      <c r="P73">
        <v>1161.3599999999999</v>
      </c>
      <c r="Q73">
        <v>1185.6100000000001</v>
      </c>
      <c r="R73">
        <v>1174.22</v>
      </c>
      <c r="S73">
        <v>1268.83</v>
      </c>
      <c r="T73">
        <v>1166.05</v>
      </c>
      <c r="W73">
        <v>660.52700000000004</v>
      </c>
      <c r="X73">
        <v>666.27200000000005</v>
      </c>
      <c r="Y73">
        <v>1476.26</v>
      </c>
      <c r="Z73">
        <v>1755</v>
      </c>
      <c r="AA73">
        <v>1562.26</v>
      </c>
      <c r="AD73">
        <v>731.41200000000003</v>
      </c>
      <c r="AE73">
        <v>782.43100000000004</v>
      </c>
      <c r="AF73">
        <v>1540.56</v>
      </c>
      <c r="AG73">
        <v>1952.49</v>
      </c>
      <c r="AH73">
        <v>1555.57</v>
      </c>
      <c r="AK73">
        <v>659.72299999999996</v>
      </c>
      <c r="AL73">
        <v>649.75800000000004</v>
      </c>
      <c r="AM73">
        <v>1425.02</v>
      </c>
      <c r="AN73">
        <v>1487.91</v>
      </c>
      <c r="AO73">
        <v>1434.1</v>
      </c>
    </row>
    <row r="74" spans="1:41" hidden="1">
      <c r="A74">
        <v>72</v>
      </c>
      <c r="B74">
        <v>1179.43</v>
      </c>
      <c r="C74">
        <v>1216.9000000000001</v>
      </c>
      <c r="D74">
        <v>1186.4699999999998</v>
      </c>
      <c r="E74">
        <v>1235.52</v>
      </c>
      <c r="F74">
        <v>1173.26</v>
      </c>
      <c r="I74">
        <v>1164.44</v>
      </c>
      <c r="J74">
        <v>1199.0700000000002</v>
      </c>
      <c r="K74">
        <v>1173.33</v>
      </c>
      <c r="L74">
        <v>1200.95</v>
      </c>
      <c r="M74">
        <v>1166.6300000000001</v>
      </c>
      <c r="P74">
        <v>1176.51</v>
      </c>
      <c r="Q74">
        <v>1160.3600000000001</v>
      </c>
      <c r="R74">
        <v>1195.49</v>
      </c>
      <c r="S74">
        <v>1171.92</v>
      </c>
      <c r="T74">
        <v>1163.3899999999999</v>
      </c>
      <c r="W74">
        <v>894.17399999999998</v>
      </c>
      <c r="X74">
        <v>747.64099999999996</v>
      </c>
      <c r="Y74">
        <v>1805.74</v>
      </c>
      <c r="Z74">
        <v>1662.91</v>
      </c>
      <c r="AA74">
        <v>1571.29</v>
      </c>
      <c r="AD74">
        <v>684.60400000000004</v>
      </c>
      <c r="AE74">
        <v>881.06899999999996</v>
      </c>
      <c r="AF74">
        <v>1578.04</v>
      </c>
      <c r="AG74">
        <v>2140.38</v>
      </c>
      <c r="AH74">
        <v>1594.21</v>
      </c>
      <c r="AK74">
        <v>699.947</v>
      </c>
      <c r="AL74">
        <v>678.63</v>
      </c>
      <c r="AM74">
        <v>1473.61</v>
      </c>
      <c r="AN74">
        <v>1564.83</v>
      </c>
      <c r="AO74">
        <v>1496.67</v>
      </c>
    </row>
    <row r="75" spans="1:41" hidden="1">
      <c r="A75">
        <v>73</v>
      </c>
      <c r="B75">
        <v>1192.47</v>
      </c>
      <c r="C75">
        <v>1167.2800000000002</v>
      </c>
      <c r="D75">
        <v>1252.57</v>
      </c>
      <c r="E75">
        <v>1186.07</v>
      </c>
      <c r="F75">
        <v>1215.4499999999998</v>
      </c>
      <c r="I75">
        <v>1165.19</v>
      </c>
      <c r="J75">
        <v>1193.05</v>
      </c>
      <c r="K75">
        <v>1168.51</v>
      </c>
      <c r="L75">
        <v>1204.3600000000001</v>
      </c>
      <c r="M75">
        <v>1172.04</v>
      </c>
      <c r="P75">
        <v>1184.19</v>
      </c>
      <c r="Q75">
        <v>1162.46</v>
      </c>
      <c r="R75">
        <v>1195.6500000000001</v>
      </c>
      <c r="S75">
        <v>1167.26</v>
      </c>
      <c r="T75">
        <v>1189.0700000000002</v>
      </c>
      <c r="W75">
        <v>761.49</v>
      </c>
      <c r="X75">
        <v>745.16600000000005</v>
      </c>
      <c r="Y75">
        <v>1422.4</v>
      </c>
      <c r="Z75">
        <v>1545.32</v>
      </c>
      <c r="AA75">
        <v>1441.82</v>
      </c>
      <c r="AD75">
        <v>684.077</v>
      </c>
      <c r="AE75">
        <v>647.20500000000004</v>
      </c>
      <c r="AF75">
        <v>1405.44</v>
      </c>
      <c r="AG75">
        <v>1884.25</v>
      </c>
      <c r="AH75">
        <v>1431.36</v>
      </c>
      <c r="AK75">
        <v>779.48400000000004</v>
      </c>
      <c r="AL75">
        <v>757.63099999999997</v>
      </c>
      <c r="AM75">
        <v>1575.61</v>
      </c>
      <c r="AN75">
        <v>1802.03</v>
      </c>
      <c r="AO75">
        <v>1459.4</v>
      </c>
    </row>
    <row r="76" spans="1:41" hidden="1">
      <c r="A76">
        <v>74</v>
      </c>
      <c r="B76">
        <v>1177.1300000000001</v>
      </c>
      <c r="C76">
        <v>1195.9599999999998</v>
      </c>
      <c r="D76">
        <v>1224.8000000000002</v>
      </c>
      <c r="E76">
        <v>1203.52</v>
      </c>
      <c r="F76">
        <v>1164.1699999999998</v>
      </c>
      <c r="I76">
        <v>1189.8499999999999</v>
      </c>
      <c r="J76">
        <v>1171.8399999999999</v>
      </c>
      <c r="K76">
        <v>1217.3899999999999</v>
      </c>
      <c r="L76">
        <v>1182.51</v>
      </c>
      <c r="M76">
        <v>1196.8600000000001</v>
      </c>
      <c r="P76">
        <v>1153.6600000000001</v>
      </c>
      <c r="Q76">
        <v>1186.07</v>
      </c>
      <c r="R76">
        <v>1171.94</v>
      </c>
      <c r="S76">
        <v>1184.26</v>
      </c>
      <c r="T76">
        <v>1163.3700000000001</v>
      </c>
      <c r="W76">
        <v>717.31600000000003</v>
      </c>
      <c r="X76">
        <v>762.23099999999999</v>
      </c>
      <c r="Y76">
        <v>1776.78</v>
      </c>
      <c r="Z76">
        <v>1774.72</v>
      </c>
      <c r="AA76">
        <v>1610.94</v>
      </c>
      <c r="AD76">
        <v>646.10799999999995</v>
      </c>
      <c r="AE76">
        <v>645.38900000000001</v>
      </c>
      <c r="AF76">
        <v>1390.14</v>
      </c>
      <c r="AG76">
        <v>1895.62</v>
      </c>
      <c r="AH76">
        <v>1433.26</v>
      </c>
      <c r="AK76">
        <v>713.59900000000005</v>
      </c>
      <c r="AL76">
        <v>675.57899999999995</v>
      </c>
      <c r="AM76">
        <v>1452.78</v>
      </c>
      <c r="AN76">
        <v>1711.3</v>
      </c>
      <c r="AO76">
        <v>1559.82</v>
      </c>
    </row>
    <row r="77" spans="1:41" hidden="1">
      <c r="A77">
        <v>75</v>
      </c>
      <c r="B77">
        <v>1225.03</v>
      </c>
      <c r="C77">
        <v>1166.25</v>
      </c>
      <c r="D77">
        <v>1192.9000000000001</v>
      </c>
      <c r="E77">
        <v>1211.95</v>
      </c>
      <c r="F77">
        <v>1233.6100000000001</v>
      </c>
      <c r="I77">
        <v>1168.8800000000001</v>
      </c>
      <c r="J77">
        <v>1191.7199999999998</v>
      </c>
      <c r="K77">
        <v>1174.7399999999998</v>
      </c>
      <c r="L77">
        <v>1200.9000000000001</v>
      </c>
      <c r="M77">
        <v>1169.0100000000002</v>
      </c>
      <c r="P77">
        <v>1161.3699999999999</v>
      </c>
      <c r="Q77">
        <v>1181.1799999999998</v>
      </c>
      <c r="R77">
        <v>1171.4000000000001</v>
      </c>
      <c r="S77">
        <v>1187.1300000000001</v>
      </c>
      <c r="T77">
        <v>1161.73</v>
      </c>
      <c r="W77">
        <v>921.03200000000004</v>
      </c>
      <c r="X77">
        <v>759.12400000000002</v>
      </c>
      <c r="Y77">
        <v>1566.56</v>
      </c>
      <c r="Z77">
        <v>1555.3</v>
      </c>
      <c r="AA77">
        <v>1435.51</v>
      </c>
      <c r="AD77">
        <v>692.71799999999996</v>
      </c>
      <c r="AE77">
        <v>666.17200000000003</v>
      </c>
      <c r="AF77">
        <v>1424.7</v>
      </c>
      <c r="AG77">
        <v>2025.88</v>
      </c>
      <c r="AH77">
        <v>1511.96</v>
      </c>
      <c r="AK77">
        <v>730.64400000000001</v>
      </c>
      <c r="AL77">
        <v>675.67600000000004</v>
      </c>
      <c r="AM77">
        <v>1426.91</v>
      </c>
      <c r="AN77">
        <v>1490.34</v>
      </c>
      <c r="AO77">
        <v>1461.48</v>
      </c>
    </row>
    <row r="78" spans="1:41" hidden="1">
      <c r="A78">
        <v>76</v>
      </c>
      <c r="B78">
        <v>1207.8699999999999</v>
      </c>
      <c r="C78">
        <v>1207.29</v>
      </c>
      <c r="D78">
        <v>1212.07</v>
      </c>
      <c r="E78">
        <v>1190.5600000000002</v>
      </c>
      <c r="F78">
        <v>1206.1299999999999</v>
      </c>
      <c r="I78">
        <v>1184.3699999999999</v>
      </c>
      <c r="J78">
        <v>1166.3300000000002</v>
      </c>
      <c r="K78">
        <v>1280.05</v>
      </c>
      <c r="L78">
        <v>1173.3400000000001</v>
      </c>
      <c r="M78">
        <v>1200.5900000000001</v>
      </c>
      <c r="P78">
        <v>1185.53</v>
      </c>
      <c r="Q78">
        <v>1159.02</v>
      </c>
      <c r="R78">
        <v>1191.95</v>
      </c>
      <c r="S78">
        <v>1167.06</v>
      </c>
      <c r="T78">
        <v>1274.44</v>
      </c>
      <c r="W78">
        <v>697.93600000000004</v>
      </c>
      <c r="X78">
        <v>644.20799999999997</v>
      </c>
      <c r="Y78">
        <v>1480.19</v>
      </c>
      <c r="Z78">
        <v>1471.29</v>
      </c>
      <c r="AA78">
        <v>1420.34</v>
      </c>
      <c r="AD78">
        <v>679.66800000000001</v>
      </c>
      <c r="AE78">
        <v>666.71299999999997</v>
      </c>
      <c r="AF78">
        <v>1414.98</v>
      </c>
      <c r="AG78">
        <v>1992.52</v>
      </c>
      <c r="AH78">
        <v>1397.67</v>
      </c>
      <c r="AK78">
        <v>661.08399999999995</v>
      </c>
      <c r="AL78">
        <v>650.45799999999997</v>
      </c>
      <c r="AM78">
        <v>1421.62</v>
      </c>
      <c r="AN78">
        <v>1488.54</v>
      </c>
      <c r="AO78">
        <v>1445.61</v>
      </c>
    </row>
    <row r="79" spans="1:41" hidden="1">
      <c r="A79">
        <v>77</v>
      </c>
      <c r="B79">
        <v>1182.68</v>
      </c>
      <c r="C79">
        <v>1182.75</v>
      </c>
      <c r="D79">
        <v>1165.24</v>
      </c>
      <c r="E79">
        <v>1180.7700000000002</v>
      </c>
      <c r="F79">
        <v>1159.81</v>
      </c>
      <c r="I79">
        <v>1289.9100000000001</v>
      </c>
      <c r="J79">
        <v>1167.5500000000002</v>
      </c>
      <c r="K79">
        <v>1193.78</v>
      </c>
      <c r="L79">
        <v>1169.44</v>
      </c>
      <c r="M79">
        <v>1201.7</v>
      </c>
      <c r="P79">
        <v>1163.0899999999999</v>
      </c>
      <c r="Q79">
        <v>1185.29</v>
      </c>
      <c r="R79">
        <v>1173.8399999999999</v>
      </c>
      <c r="S79">
        <v>1189.81</v>
      </c>
      <c r="T79">
        <v>1163.29</v>
      </c>
      <c r="W79">
        <v>624.29999999999995</v>
      </c>
      <c r="X79">
        <v>629.30899999999997</v>
      </c>
      <c r="Y79">
        <v>1394.01</v>
      </c>
      <c r="Z79">
        <v>1554.32</v>
      </c>
      <c r="AA79">
        <v>1444.48</v>
      </c>
      <c r="AD79">
        <v>648.01900000000001</v>
      </c>
      <c r="AE79">
        <v>669.80899999999997</v>
      </c>
      <c r="AF79">
        <v>1397.27</v>
      </c>
      <c r="AG79">
        <v>1922.57</v>
      </c>
      <c r="AH79">
        <v>1436.74</v>
      </c>
      <c r="AK79">
        <v>664.89800000000002</v>
      </c>
      <c r="AL79">
        <v>679.226</v>
      </c>
      <c r="AM79">
        <v>1493.91</v>
      </c>
      <c r="AN79">
        <v>1577.75</v>
      </c>
      <c r="AO79">
        <v>1566.67</v>
      </c>
    </row>
    <row r="80" spans="1:41" hidden="1">
      <c r="A80">
        <v>78</v>
      </c>
      <c r="B80">
        <v>1175.94</v>
      </c>
      <c r="C80">
        <v>1159.1299999999999</v>
      </c>
      <c r="D80">
        <v>1193.5800000000002</v>
      </c>
      <c r="E80">
        <v>1167.26</v>
      </c>
      <c r="F80">
        <v>1181.72</v>
      </c>
      <c r="I80">
        <v>1164.0999999999999</v>
      </c>
      <c r="J80">
        <v>1180.76</v>
      </c>
      <c r="K80">
        <v>1165.52</v>
      </c>
      <c r="L80">
        <v>1192.07</v>
      </c>
      <c r="M80">
        <v>1164.94</v>
      </c>
      <c r="P80">
        <v>1169.22</v>
      </c>
      <c r="Q80">
        <v>1163.6899999999998</v>
      </c>
      <c r="R80">
        <v>1197.3100000000002</v>
      </c>
      <c r="S80">
        <v>1168.6399999999999</v>
      </c>
      <c r="T80">
        <v>1188.44</v>
      </c>
      <c r="W80">
        <v>760.94899999999996</v>
      </c>
      <c r="X80">
        <v>661.56600000000003</v>
      </c>
      <c r="Y80">
        <v>1433.48</v>
      </c>
      <c r="Z80">
        <v>1527.59</v>
      </c>
      <c r="AA80">
        <v>1432.13</v>
      </c>
      <c r="AD80">
        <v>794.63699999999994</v>
      </c>
      <c r="AE80">
        <v>714.88499999999999</v>
      </c>
      <c r="AF80">
        <v>1589.09</v>
      </c>
      <c r="AG80">
        <v>2052.94</v>
      </c>
      <c r="AH80">
        <v>1576.91</v>
      </c>
      <c r="AK80">
        <v>803.38499999999999</v>
      </c>
      <c r="AL80">
        <v>782.33900000000006</v>
      </c>
      <c r="AM80">
        <v>1497.12</v>
      </c>
      <c r="AN80">
        <v>1565.53</v>
      </c>
      <c r="AO80">
        <v>1489.44</v>
      </c>
    </row>
    <row r="81" spans="1:41" hidden="1">
      <c r="A81">
        <v>79</v>
      </c>
      <c r="B81">
        <v>1152.01</v>
      </c>
      <c r="C81">
        <v>1175.97</v>
      </c>
      <c r="D81">
        <v>1185.49</v>
      </c>
      <c r="E81">
        <v>1165.57</v>
      </c>
      <c r="F81">
        <v>1194.48</v>
      </c>
      <c r="I81">
        <v>1193.24</v>
      </c>
      <c r="J81">
        <v>1167.72</v>
      </c>
      <c r="K81">
        <v>1190.45</v>
      </c>
      <c r="L81">
        <v>1168.6000000000001</v>
      </c>
      <c r="M81">
        <v>1186.93</v>
      </c>
      <c r="P81">
        <v>1161.51</v>
      </c>
      <c r="Q81">
        <v>1183.81</v>
      </c>
      <c r="R81">
        <v>1169.2</v>
      </c>
      <c r="S81">
        <v>1194.1399999999999</v>
      </c>
      <c r="T81">
        <v>1158.6499999999999</v>
      </c>
      <c r="W81">
        <v>628.69899999999996</v>
      </c>
      <c r="X81">
        <v>628.84299999999996</v>
      </c>
      <c r="Y81">
        <v>1385.4</v>
      </c>
      <c r="Z81">
        <v>1465.59</v>
      </c>
      <c r="AA81">
        <v>1440.34</v>
      </c>
      <c r="AD81">
        <v>693.31500000000005</v>
      </c>
      <c r="AE81">
        <v>676.32600000000002</v>
      </c>
      <c r="AF81">
        <v>1455.34</v>
      </c>
      <c r="AG81">
        <v>2035.06</v>
      </c>
      <c r="AH81">
        <v>1632.26</v>
      </c>
      <c r="AK81">
        <v>664.06600000000003</v>
      </c>
      <c r="AL81">
        <v>648.08100000000002</v>
      </c>
      <c r="AM81">
        <v>1437.26</v>
      </c>
      <c r="AN81">
        <v>1495.1</v>
      </c>
      <c r="AO81">
        <v>1447.11</v>
      </c>
    </row>
    <row r="82" spans="1:41" hidden="1">
      <c r="A82">
        <v>80</v>
      </c>
      <c r="B82">
        <v>1153.8499999999999</v>
      </c>
      <c r="C82">
        <v>1176.08</v>
      </c>
      <c r="D82">
        <v>1166.19</v>
      </c>
      <c r="E82">
        <v>1192.51</v>
      </c>
      <c r="F82">
        <v>1244.92</v>
      </c>
      <c r="I82">
        <v>1164.96</v>
      </c>
      <c r="J82">
        <v>1167.19</v>
      </c>
      <c r="K82">
        <v>1198.8399999999999</v>
      </c>
      <c r="L82">
        <v>1172.73</v>
      </c>
      <c r="M82">
        <v>1192.6300000000001</v>
      </c>
      <c r="P82">
        <v>1175.83</v>
      </c>
      <c r="Q82">
        <v>1161.05</v>
      </c>
      <c r="R82">
        <v>1198.8399999999999</v>
      </c>
      <c r="S82">
        <v>1169.1300000000001</v>
      </c>
      <c r="T82">
        <v>1193.76</v>
      </c>
      <c r="W82">
        <v>793.95600000000002</v>
      </c>
      <c r="X82">
        <v>766.596</v>
      </c>
      <c r="Y82">
        <v>1741.38</v>
      </c>
      <c r="Z82">
        <v>1852.08</v>
      </c>
      <c r="AA82">
        <v>1599.58</v>
      </c>
      <c r="AD82">
        <v>758.36199999999997</v>
      </c>
      <c r="AE82">
        <v>787.89700000000005</v>
      </c>
      <c r="AF82">
        <v>1602.46</v>
      </c>
      <c r="AG82">
        <v>2146.09</v>
      </c>
      <c r="AH82">
        <v>1644.7</v>
      </c>
      <c r="AK82">
        <v>660.47400000000005</v>
      </c>
      <c r="AL82">
        <v>649.48299999999995</v>
      </c>
      <c r="AM82">
        <v>1426.79</v>
      </c>
      <c r="AN82">
        <v>1493.57</v>
      </c>
      <c r="AO82">
        <v>1446.48</v>
      </c>
    </row>
    <row r="83" spans="1:41" hidden="1">
      <c r="A83">
        <v>81</v>
      </c>
      <c r="B83">
        <v>1175.3499999999999</v>
      </c>
      <c r="C83">
        <v>1175.8599999999999</v>
      </c>
      <c r="D83">
        <v>1182.1699999999998</v>
      </c>
      <c r="E83">
        <v>1163.32</v>
      </c>
      <c r="F83">
        <v>1177.1499999999999</v>
      </c>
      <c r="I83">
        <v>1163.8699999999999</v>
      </c>
      <c r="J83">
        <v>1194.69</v>
      </c>
      <c r="K83">
        <v>1168.97</v>
      </c>
      <c r="L83">
        <v>1278.92</v>
      </c>
      <c r="M83">
        <v>1164.56</v>
      </c>
      <c r="P83">
        <v>1164</v>
      </c>
      <c r="Q83">
        <v>1179.83</v>
      </c>
      <c r="R83">
        <v>1175.5500000000002</v>
      </c>
      <c r="S83">
        <v>1186.56</v>
      </c>
      <c r="T83">
        <v>1165.7900000000002</v>
      </c>
      <c r="W83">
        <v>737.82600000000002</v>
      </c>
      <c r="X83">
        <v>727.18499999999995</v>
      </c>
      <c r="Y83">
        <v>1479.07</v>
      </c>
      <c r="Z83">
        <v>1500.49</v>
      </c>
      <c r="AA83">
        <v>1453.24</v>
      </c>
      <c r="AD83">
        <v>685.43700000000001</v>
      </c>
      <c r="AE83">
        <v>684.10199999999998</v>
      </c>
      <c r="AF83">
        <v>1432.83</v>
      </c>
      <c r="AG83">
        <v>1919.56</v>
      </c>
      <c r="AH83">
        <v>1446.12</v>
      </c>
      <c r="AK83">
        <v>659.82600000000002</v>
      </c>
      <c r="AL83">
        <v>665.38900000000001</v>
      </c>
      <c r="AM83">
        <v>1403.84</v>
      </c>
      <c r="AN83">
        <v>1526.04</v>
      </c>
      <c r="AO83">
        <v>1432.47</v>
      </c>
    </row>
    <row r="84" spans="1:41" hidden="1">
      <c r="A84">
        <v>82</v>
      </c>
      <c r="B84">
        <v>1151.79</v>
      </c>
      <c r="C84">
        <v>1182.1399999999999</v>
      </c>
      <c r="D84">
        <v>1163.8599999999999</v>
      </c>
      <c r="E84">
        <v>1189.02</v>
      </c>
      <c r="F84">
        <v>1156</v>
      </c>
      <c r="I84">
        <v>1191.28</v>
      </c>
      <c r="J84">
        <v>1167</v>
      </c>
      <c r="K84">
        <v>1193.8399999999999</v>
      </c>
      <c r="L84">
        <v>1166.4399999999998</v>
      </c>
      <c r="M84">
        <v>1181.2</v>
      </c>
      <c r="P84">
        <v>1274.3599999999999</v>
      </c>
      <c r="Q84">
        <v>1161.9100000000001</v>
      </c>
      <c r="R84">
        <v>1170.6399999999999</v>
      </c>
      <c r="S84">
        <v>1187.9100000000001</v>
      </c>
      <c r="T84">
        <v>1161</v>
      </c>
      <c r="W84">
        <v>741.71799999999996</v>
      </c>
      <c r="X84">
        <v>665.12699999999995</v>
      </c>
      <c r="Y84">
        <v>1540.15</v>
      </c>
      <c r="Z84">
        <v>1721.73</v>
      </c>
      <c r="AA84">
        <v>1619.32</v>
      </c>
      <c r="AD84">
        <v>679.68899999999996</v>
      </c>
      <c r="AE84">
        <v>708.68200000000002</v>
      </c>
      <c r="AF84">
        <v>1443.98</v>
      </c>
      <c r="AG84">
        <v>2187.91</v>
      </c>
      <c r="AH84">
        <v>1643.08</v>
      </c>
      <c r="AK84">
        <v>682.38</v>
      </c>
      <c r="AL84">
        <v>651.00199999999995</v>
      </c>
      <c r="AM84">
        <v>1425.69</v>
      </c>
      <c r="AN84">
        <v>1535.12</v>
      </c>
      <c r="AO84">
        <v>1437.46</v>
      </c>
    </row>
    <row r="85" spans="1:41" hidden="1">
      <c r="A85">
        <v>83</v>
      </c>
      <c r="B85">
        <v>1179.8699999999999</v>
      </c>
      <c r="C85">
        <v>1172.31</v>
      </c>
      <c r="D85">
        <v>1164.03</v>
      </c>
      <c r="E85">
        <v>1186.0999999999999</v>
      </c>
      <c r="F85">
        <v>1154.5899999999999</v>
      </c>
      <c r="I85">
        <v>1161.8800000000001</v>
      </c>
      <c r="J85">
        <v>1194.21</v>
      </c>
      <c r="K85">
        <v>1169.0899999999999</v>
      </c>
      <c r="L85">
        <v>1191.9299999999998</v>
      </c>
      <c r="M85">
        <v>1221.8100000000002</v>
      </c>
      <c r="P85">
        <v>1174.33</v>
      </c>
      <c r="Q85">
        <v>1187.3700000000001</v>
      </c>
      <c r="R85">
        <v>1174.8900000000001</v>
      </c>
      <c r="S85">
        <v>1185.1100000000001</v>
      </c>
      <c r="T85">
        <v>1161.6299999999999</v>
      </c>
      <c r="W85">
        <v>722.29200000000003</v>
      </c>
      <c r="X85">
        <v>725.97699999999998</v>
      </c>
      <c r="Y85">
        <v>1488.18</v>
      </c>
      <c r="Z85">
        <v>1515.74</v>
      </c>
      <c r="AA85">
        <v>1480.86</v>
      </c>
      <c r="AD85">
        <v>733.87300000000005</v>
      </c>
      <c r="AE85">
        <v>723.17499999999995</v>
      </c>
      <c r="AF85">
        <v>1617.69</v>
      </c>
      <c r="AG85">
        <v>2203.4499999999998</v>
      </c>
      <c r="AH85">
        <v>1425.12</v>
      </c>
      <c r="AK85">
        <v>658.14</v>
      </c>
      <c r="AL85">
        <v>651.51199999999994</v>
      </c>
      <c r="AM85">
        <v>1411.36</v>
      </c>
      <c r="AN85">
        <v>1497.37</v>
      </c>
      <c r="AO85">
        <v>1449.94</v>
      </c>
    </row>
    <row r="86" spans="1:41" hidden="1">
      <c r="A86">
        <v>84</v>
      </c>
      <c r="B86">
        <v>1285.19</v>
      </c>
      <c r="C86">
        <v>1235.33</v>
      </c>
      <c r="D86">
        <v>1890.85</v>
      </c>
      <c r="E86">
        <v>1363.28</v>
      </c>
      <c r="F86">
        <v>1380.16</v>
      </c>
      <c r="I86">
        <v>1182.99</v>
      </c>
      <c r="J86">
        <v>1220.68</v>
      </c>
      <c r="K86">
        <v>1273.69</v>
      </c>
      <c r="L86">
        <v>1211.4000000000001</v>
      </c>
      <c r="M86">
        <v>1179.79</v>
      </c>
      <c r="P86">
        <v>1182.48</v>
      </c>
      <c r="Q86">
        <v>1158.74</v>
      </c>
      <c r="R86">
        <v>1188.74</v>
      </c>
      <c r="S86">
        <v>1167.05</v>
      </c>
      <c r="T86">
        <v>1182.8700000000001</v>
      </c>
      <c r="W86">
        <v>731.28700000000003</v>
      </c>
      <c r="X86">
        <v>667.76400000000001</v>
      </c>
      <c r="Y86">
        <v>1533.3</v>
      </c>
      <c r="Z86">
        <v>1543.66</v>
      </c>
      <c r="AA86">
        <v>1623.73</v>
      </c>
      <c r="AD86">
        <v>677.42100000000005</v>
      </c>
      <c r="AE86">
        <v>708.58100000000002</v>
      </c>
      <c r="AF86">
        <v>1437</v>
      </c>
      <c r="AG86">
        <v>1944.15</v>
      </c>
      <c r="AH86">
        <v>1543.36</v>
      </c>
      <c r="AK86">
        <v>659.24300000000005</v>
      </c>
      <c r="AL86">
        <v>720.81700000000001</v>
      </c>
      <c r="AM86">
        <v>1436.31</v>
      </c>
      <c r="AN86">
        <v>1524.36</v>
      </c>
      <c r="AO86">
        <v>1480.73</v>
      </c>
    </row>
    <row r="87" spans="1:41" hidden="1">
      <c r="A87">
        <v>85</v>
      </c>
      <c r="B87">
        <v>1678.15</v>
      </c>
      <c r="C87">
        <v>1235.0899999999999</v>
      </c>
      <c r="D87">
        <v>1238.47</v>
      </c>
      <c r="E87">
        <v>1171.23</v>
      </c>
      <c r="F87">
        <v>1284.6200000000001</v>
      </c>
      <c r="I87">
        <v>1210.02</v>
      </c>
      <c r="J87">
        <v>1179.51</v>
      </c>
      <c r="K87">
        <v>1211.27</v>
      </c>
      <c r="L87">
        <v>1195.9299999999998</v>
      </c>
      <c r="M87">
        <v>1221.44</v>
      </c>
      <c r="P87">
        <v>1178.3800000000001</v>
      </c>
      <c r="Q87">
        <v>1180.55</v>
      </c>
      <c r="R87">
        <v>1170.6199999999999</v>
      </c>
      <c r="S87">
        <v>1191.6899999999998</v>
      </c>
      <c r="T87">
        <v>1162.46</v>
      </c>
      <c r="W87">
        <v>739.32500000000005</v>
      </c>
      <c r="X87">
        <v>816.11500000000001</v>
      </c>
      <c r="Y87">
        <v>1545.53</v>
      </c>
      <c r="Z87">
        <v>1560.77</v>
      </c>
      <c r="AA87">
        <v>1461.12</v>
      </c>
      <c r="AD87">
        <v>812.23900000000003</v>
      </c>
      <c r="AE87">
        <v>752.274</v>
      </c>
      <c r="AF87">
        <v>1585.48</v>
      </c>
      <c r="AG87">
        <v>2095.31</v>
      </c>
      <c r="AH87">
        <v>1710.1</v>
      </c>
      <c r="AK87">
        <v>693.90099999999995</v>
      </c>
      <c r="AL87">
        <v>672.87099999999998</v>
      </c>
      <c r="AM87">
        <v>1401.49</v>
      </c>
      <c r="AN87">
        <v>1525.58</v>
      </c>
      <c r="AO87">
        <v>1515.42</v>
      </c>
    </row>
    <row r="88" spans="1:41" hidden="1">
      <c r="A88">
        <v>86</v>
      </c>
      <c r="B88">
        <v>1154.0999999999999</v>
      </c>
      <c r="C88">
        <v>1181.3100000000002</v>
      </c>
      <c r="D88">
        <v>1162.94</v>
      </c>
      <c r="E88">
        <v>1163.33</v>
      </c>
      <c r="F88">
        <v>1183.8699999999999</v>
      </c>
      <c r="I88">
        <v>1197.28</v>
      </c>
      <c r="J88">
        <v>1198.06</v>
      </c>
      <c r="K88">
        <v>1191.9599999999998</v>
      </c>
      <c r="L88">
        <v>1187.8999999999999</v>
      </c>
      <c r="M88">
        <v>1276.71</v>
      </c>
      <c r="P88">
        <v>1184.1199999999999</v>
      </c>
      <c r="Q88">
        <v>1158.99</v>
      </c>
      <c r="R88">
        <v>1196.96</v>
      </c>
      <c r="S88">
        <v>1167.01</v>
      </c>
      <c r="T88">
        <v>1186</v>
      </c>
      <c r="W88">
        <v>716.75699999999995</v>
      </c>
      <c r="X88">
        <v>675.779</v>
      </c>
      <c r="Y88">
        <v>1578.68</v>
      </c>
      <c r="Z88">
        <v>1772.74</v>
      </c>
      <c r="AA88">
        <v>1620.17</v>
      </c>
      <c r="AD88">
        <v>646.54100000000005</v>
      </c>
      <c r="AE88">
        <v>671.20399999999995</v>
      </c>
      <c r="AF88">
        <v>1413.7</v>
      </c>
      <c r="AG88">
        <v>1951.18</v>
      </c>
      <c r="AH88">
        <v>1438.15</v>
      </c>
      <c r="AK88">
        <v>729.87800000000004</v>
      </c>
      <c r="AL88">
        <v>734.41600000000005</v>
      </c>
      <c r="AM88">
        <v>1481.56</v>
      </c>
      <c r="AN88">
        <v>1503.89</v>
      </c>
      <c r="AO88">
        <v>1446.71</v>
      </c>
    </row>
    <row r="89" spans="1:41" hidden="1">
      <c r="A89">
        <v>87</v>
      </c>
      <c r="B89">
        <v>1154.74</v>
      </c>
      <c r="C89">
        <v>1188.95</v>
      </c>
      <c r="D89">
        <v>1165.51</v>
      </c>
      <c r="E89">
        <v>1191.19</v>
      </c>
      <c r="F89">
        <v>1157.44</v>
      </c>
      <c r="I89">
        <v>1205.46</v>
      </c>
      <c r="J89">
        <v>1183.74</v>
      </c>
      <c r="K89">
        <v>1218</v>
      </c>
      <c r="L89">
        <v>1177.8599999999999</v>
      </c>
      <c r="M89">
        <v>1202.3500000000001</v>
      </c>
      <c r="P89">
        <v>1161.8499999999999</v>
      </c>
      <c r="Q89">
        <v>1269.78</v>
      </c>
      <c r="R89">
        <v>1170.99</v>
      </c>
      <c r="S89">
        <v>1186.5900000000001</v>
      </c>
      <c r="T89">
        <v>1163.21</v>
      </c>
      <c r="W89">
        <v>709.12699999999995</v>
      </c>
      <c r="X89">
        <v>676.41399999999999</v>
      </c>
      <c r="Y89">
        <v>1390.66</v>
      </c>
      <c r="Z89">
        <v>1579.74</v>
      </c>
      <c r="AA89">
        <v>1566.35</v>
      </c>
      <c r="AD89">
        <v>699.71100000000001</v>
      </c>
      <c r="AE89">
        <v>672.08299999999997</v>
      </c>
      <c r="AF89">
        <v>1629.84</v>
      </c>
      <c r="AG89">
        <v>2134.7600000000002</v>
      </c>
      <c r="AH89">
        <v>1604.91</v>
      </c>
      <c r="AK89">
        <v>659.59699999999998</v>
      </c>
      <c r="AL89">
        <v>649.99099999999999</v>
      </c>
      <c r="AM89">
        <v>1429.04</v>
      </c>
      <c r="AN89">
        <v>1488.12</v>
      </c>
      <c r="AO89">
        <v>1456.85</v>
      </c>
    </row>
    <row r="90" spans="1:41" hidden="1">
      <c r="A90">
        <v>88</v>
      </c>
      <c r="B90">
        <v>1178.3599999999999</v>
      </c>
      <c r="C90">
        <v>1155.68</v>
      </c>
      <c r="D90">
        <v>1184.68</v>
      </c>
      <c r="E90">
        <v>1163.2800000000002</v>
      </c>
      <c r="F90">
        <v>1179.3599999999999</v>
      </c>
      <c r="I90">
        <v>1187.67</v>
      </c>
      <c r="J90">
        <v>1231.28</v>
      </c>
      <c r="K90">
        <v>1184.68</v>
      </c>
      <c r="L90">
        <v>1186.31</v>
      </c>
      <c r="M90">
        <v>1225.67</v>
      </c>
      <c r="P90">
        <v>1156.45</v>
      </c>
      <c r="Q90">
        <v>1178.46</v>
      </c>
      <c r="R90">
        <v>1170.93</v>
      </c>
      <c r="S90">
        <v>1183.5800000000002</v>
      </c>
      <c r="T90">
        <v>1164.18</v>
      </c>
      <c r="W90">
        <v>832.27300000000002</v>
      </c>
      <c r="X90">
        <v>789.322</v>
      </c>
      <c r="Y90">
        <v>1513.62</v>
      </c>
      <c r="Z90">
        <v>1548.38</v>
      </c>
      <c r="AA90">
        <v>1502.21</v>
      </c>
      <c r="AD90">
        <v>750.89300000000003</v>
      </c>
      <c r="AE90">
        <v>772.49</v>
      </c>
      <c r="AF90">
        <v>1583.73</v>
      </c>
      <c r="AG90">
        <v>2045.71</v>
      </c>
      <c r="AH90">
        <v>1496.42</v>
      </c>
      <c r="AK90">
        <v>661.02499999999998</v>
      </c>
      <c r="AL90">
        <v>675.52200000000005</v>
      </c>
      <c r="AM90">
        <v>1399.71</v>
      </c>
      <c r="AN90">
        <v>1514.54</v>
      </c>
      <c r="AO90">
        <v>1406</v>
      </c>
    </row>
    <row r="91" spans="1:41" hidden="1">
      <c r="A91">
        <v>89</v>
      </c>
      <c r="B91">
        <v>1153.95</v>
      </c>
      <c r="C91">
        <v>1182.3600000000001</v>
      </c>
      <c r="D91">
        <v>1175.46</v>
      </c>
      <c r="E91">
        <v>1183.74</v>
      </c>
      <c r="F91">
        <v>1152.8400000000001</v>
      </c>
      <c r="I91">
        <v>1190.78</v>
      </c>
      <c r="J91">
        <v>1212.01</v>
      </c>
      <c r="K91">
        <v>1176.5</v>
      </c>
      <c r="L91">
        <v>1209.02</v>
      </c>
      <c r="M91">
        <v>1182.4099999999999</v>
      </c>
      <c r="P91">
        <v>1187.8599999999999</v>
      </c>
      <c r="Q91">
        <v>1160.73</v>
      </c>
      <c r="R91">
        <v>1193.1499999999999</v>
      </c>
      <c r="S91">
        <v>1165.7</v>
      </c>
      <c r="T91">
        <v>1182.24</v>
      </c>
      <c r="W91">
        <v>682.67899999999997</v>
      </c>
      <c r="X91">
        <v>709.97699999999998</v>
      </c>
      <c r="Y91">
        <v>1627</v>
      </c>
      <c r="Z91">
        <v>1545.28</v>
      </c>
      <c r="AA91">
        <v>1545.14</v>
      </c>
      <c r="AD91">
        <v>707.37800000000004</v>
      </c>
      <c r="AE91">
        <v>688.20600000000002</v>
      </c>
      <c r="AF91">
        <v>1462.61</v>
      </c>
      <c r="AG91">
        <v>2022.25</v>
      </c>
      <c r="AH91">
        <v>1632.58</v>
      </c>
      <c r="AK91">
        <v>686.43499999999995</v>
      </c>
      <c r="AL91">
        <v>650.79899999999998</v>
      </c>
      <c r="AM91">
        <v>1529.12</v>
      </c>
      <c r="AN91">
        <v>1510.76</v>
      </c>
      <c r="AO91">
        <v>1429.45</v>
      </c>
    </row>
    <row r="92" spans="1:41" hidden="1">
      <c r="A92">
        <v>90</v>
      </c>
      <c r="B92">
        <v>1152.46</v>
      </c>
      <c r="C92">
        <v>1176.8000000000002</v>
      </c>
      <c r="D92">
        <v>1163.6400000000001</v>
      </c>
      <c r="E92">
        <v>1213.75</v>
      </c>
      <c r="F92">
        <v>1154.3900000000001</v>
      </c>
      <c r="I92">
        <v>1205.07</v>
      </c>
      <c r="J92">
        <v>1179.4100000000001</v>
      </c>
      <c r="K92">
        <v>1226.76</v>
      </c>
      <c r="L92">
        <v>1183.3499999999999</v>
      </c>
      <c r="M92">
        <v>1219</v>
      </c>
      <c r="P92">
        <v>1156.3</v>
      </c>
      <c r="Q92">
        <v>1195.1000000000001</v>
      </c>
      <c r="R92">
        <v>1170.75</v>
      </c>
      <c r="S92">
        <v>1202.24</v>
      </c>
      <c r="T92">
        <v>1160.6199999999999</v>
      </c>
      <c r="W92">
        <v>869.63699999999994</v>
      </c>
      <c r="X92">
        <v>701.34799999999996</v>
      </c>
      <c r="Y92">
        <v>1508.1</v>
      </c>
      <c r="Z92">
        <v>1579.9</v>
      </c>
      <c r="AA92">
        <v>1480.77</v>
      </c>
      <c r="AD92">
        <v>797.61800000000005</v>
      </c>
      <c r="AE92">
        <v>756.178</v>
      </c>
      <c r="AF92">
        <v>1577.84</v>
      </c>
      <c r="AG92">
        <v>2184.61</v>
      </c>
      <c r="AH92">
        <v>1607.29</v>
      </c>
      <c r="AK92">
        <v>658.71199999999999</v>
      </c>
      <c r="AL92">
        <v>648.93499999999995</v>
      </c>
      <c r="AM92">
        <v>1417.8</v>
      </c>
      <c r="AN92">
        <v>1494.21</v>
      </c>
      <c r="AO92">
        <v>1432.59</v>
      </c>
    </row>
    <row r="93" spans="1:41" hidden="1">
      <c r="A93">
        <v>91</v>
      </c>
      <c r="B93">
        <v>1269.3399999999999</v>
      </c>
      <c r="C93">
        <v>1160</v>
      </c>
      <c r="D93">
        <v>1190</v>
      </c>
      <c r="E93">
        <v>1162.1099999999999</v>
      </c>
      <c r="F93">
        <v>1182.3399999999999</v>
      </c>
      <c r="I93">
        <v>1189.7</v>
      </c>
      <c r="J93">
        <v>1204.68</v>
      </c>
      <c r="K93">
        <v>1181.3700000000001</v>
      </c>
      <c r="L93">
        <v>1200.3399999999999</v>
      </c>
      <c r="M93">
        <v>1270.5</v>
      </c>
      <c r="P93">
        <v>1185.46</v>
      </c>
      <c r="Q93">
        <v>1159.3599999999999</v>
      </c>
      <c r="R93">
        <v>1192.3600000000001</v>
      </c>
      <c r="S93">
        <v>1167.8699999999999</v>
      </c>
      <c r="T93">
        <v>1159.01</v>
      </c>
      <c r="W93">
        <v>727.42700000000002</v>
      </c>
      <c r="X93">
        <v>772.68899999999996</v>
      </c>
      <c r="Y93">
        <v>1628.73</v>
      </c>
      <c r="Z93">
        <v>1688.56</v>
      </c>
      <c r="AA93">
        <v>1619.74</v>
      </c>
      <c r="AD93">
        <v>824.91</v>
      </c>
      <c r="AE93">
        <v>715.01499999999999</v>
      </c>
      <c r="AF93">
        <v>1496.01</v>
      </c>
      <c r="AG93">
        <v>1933.59</v>
      </c>
      <c r="AH93">
        <v>1492.81</v>
      </c>
      <c r="AK93">
        <v>660.27099999999996</v>
      </c>
      <c r="AL93">
        <v>649.54499999999996</v>
      </c>
      <c r="AM93">
        <v>1427.31</v>
      </c>
      <c r="AN93">
        <v>1517.83</v>
      </c>
      <c r="AO93">
        <v>1406.49</v>
      </c>
    </row>
    <row r="94" spans="1:41" hidden="1">
      <c r="A94">
        <v>92</v>
      </c>
      <c r="B94">
        <v>1154.67</v>
      </c>
      <c r="C94">
        <v>1178.0900000000001</v>
      </c>
      <c r="D94">
        <v>1167.97</v>
      </c>
      <c r="E94">
        <v>1187.1300000000001</v>
      </c>
      <c r="F94">
        <v>1157.94</v>
      </c>
      <c r="I94">
        <v>1192.99</v>
      </c>
      <c r="J94">
        <v>1183.78</v>
      </c>
      <c r="K94">
        <v>1179.8999999999999</v>
      </c>
      <c r="L94">
        <v>1219.01</v>
      </c>
      <c r="M94">
        <v>1184.3699999999999</v>
      </c>
      <c r="P94">
        <v>1183.3599999999999</v>
      </c>
      <c r="Q94">
        <v>1163.05</v>
      </c>
      <c r="R94">
        <v>1277.3699999999999</v>
      </c>
      <c r="S94">
        <v>1167.03</v>
      </c>
      <c r="T94">
        <v>1189.32</v>
      </c>
      <c r="W94">
        <v>812.78499999999997</v>
      </c>
      <c r="X94">
        <v>692.97799999999995</v>
      </c>
      <c r="Y94">
        <v>1501.94</v>
      </c>
      <c r="Z94">
        <v>1524.55</v>
      </c>
      <c r="AA94">
        <v>1494.9</v>
      </c>
      <c r="AD94">
        <v>672.85900000000004</v>
      </c>
      <c r="AE94">
        <v>671.80100000000004</v>
      </c>
      <c r="AF94">
        <v>1592.07</v>
      </c>
      <c r="AG94">
        <v>2157.46</v>
      </c>
      <c r="AH94">
        <v>1633.44</v>
      </c>
      <c r="AK94">
        <v>670.52599999999995</v>
      </c>
      <c r="AL94">
        <v>681.68</v>
      </c>
      <c r="AM94">
        <v>1407.06</v>
      </c>
      <c r="AN94">
        <v>1521.56</v>
      </c>
      <c r="AO94">
        <v>1405.86</v>
      </c>
    </row>
    <row r="95" spans="1:41" hidden="1">
      <c r="A95">
        <v>93</v>
      </c>
      <c r="B95">
        <v>1181.6600000000001</v>
      </c>
      <c r="C95">
        <v>1206.02</v>
      </c>
      <c r="D95">
        <v>1176.1200000000001</v>
      </c>
      <c r="E95">
        <v>1183.21</v>
      </c>
      <c r="F95">
        <v>1172.32</v>
      </c>
      <c r="I95">
        <v>1203.17</v>
      </c>
      <c r="J95">
        <v>1177.1400000000001</v>
      </c>
      <c r="K95">
        <v>1193.1000000000001</v>
      </c>
      <c r="L95">
        <v>1180.3399999999999</v>
      </c>
      <c r="M95">
        <v>1218.6600000000001</v>
      </c>
      <c r="P95">
        <v>1161.82</v>
      </c>
      <c r="Q95">
        <v>1185.43</v>
      </c>
      <c r="R95">
        <v>1171.6299999999999</v>
      </c>
      <c r="S95">
        <v>1194.47</v>
      </c>
      <c r="T95">
        <v>1162.8499999999999</v>
      </c>
      <c r="W95">
        <v>662.93600000000004</v>
      </c>
      <c r="X95">
        <v>692.77099999999996</v>
      </c>
      <c r="Y95">
        <v>1500.51</v>
      </c>
      <c r="Z95">
        <v>1595.27</v>
      </c>
      <c r="AA95">
        <v>1582.6</v>
      </c>
      <c r="AD95">
        <v>744.54300000000001</v>
      </c>
      <c r="AE95">
        <v>778.11699999999996</v>
      </c>
      <c r="AF95">
        <v>1559.9</v>
      </c>
      <c r="AG95">
        <v>2275.0300000000002</v>
      </c>
      <c r="AH95">
        <v>1535.39</v>
      </c>
      <c r="AK95">
        <v>680.35</v>
      </c>
      <c r="AL95">
        <v>649.91700000000003</v>
      </c>
      <c r="AM95">
        <v>1427.4</v>
      </c>
      <c r="AN95">
        <v>1492.51</v>
      </c>
      <c r="AO95">
        <v>1433.82</v>
      </c>
    </row>
    <row r="96" spans="1:41" hidden="1">
      <c r="A96">
        <v>94</v>
      </c>
      <c r="B96">
        <v>1177.73</v>
      </c>
      <c r="C96">
        <v>1163.49</v>
      </c>
      <c r="D96">
        <v>1164.3399999999999</v>
      </c>
      <c r="E96">
        <v>1191.8699999999999</v>
      </c>
      <c r="F96">
        <v>1156.4000000000001</v>
      </c>
      <c r="I96">
        <v>1187.7</v>
      </c>
      <c r="J96">
        <v>1199.49</v>
      </c>
      <c r="K96">
        <v>1191.4199999999998</v>
      </c>
      <c r="L96">
        <v>1198.93</v>
      </c>
      <c r="M96">
        <v>1187.1499999999999</v>
      </c>
      <c r="P96">
        <v>1180.4100000000001</v>
      </c>
      <c r="Q96">
        <v>1159.24</v>
      </c>
      <c r="R96">
        <v>1195.98</v>
      </c>
      <c r="S96">
        <v>1167.48</v>
      </c>
      <c r="T96">
        <v>1182.1500000000001</v>
      </c>
      <c r="W96">
        <v>835.60900000000004</v>
      </c>
      <c r="X96">
        <v>795.05700000000002</v>
      </c>
      <c r="Y96">
        <v>1649.23</v>
      </c>
      <c r="Z96">
        <v>1589.57</v>
      </c>
      <c r="AA96">
        <v>1663.87</v>
      </c>
      <c r="AD96">
        <v>647.22</v>
      </c>
      <c r="AE96">
        <v>646.24</v>
      </c>
      <c r="AF96">
        <v>1417.55</v>
      </c>
      <c r="AG96">
        <v>1939.77</v>
      </c>
      <c r="AH96">
        <v>1460.88</v>
      </c>
      <c r="AK96">
        <v>659.56100000000004</v>
      </c>
      <c r="AL96">
        <v>648.90700000000004</v>
      </c>
      <c r="AM96">
        <v>1427.2</v>
      </c>
      <c r="AN96">
        <v>1591.33</v>
      </c>
      <c r="AO96">
        <v>1431.34</v>
      </c>
    </row>
    <row r="97" spans="1:41">
      <c r="A97">
        <v>95</v>
      </c>
      <c r="B97">
        <v>1173.9000000000001</v>
      </c>
      <c r="C97">
        <v>1164.45</v>
      </c>
      <c r="D97">
        <v>1189.4100000000001</v>
      </c>
      <c r="E97">
        <v>1166.23</v>
      </c>
      <c r="F97">
        <v>1179.5899999999999</v>
      </c>
      <c r="I97">
        <v>1208.1099999999999</v>
      </c>
      <c r="J97">
        <v>1190.6099999999999</v>
      </c>
      <c r="K97">
        <v>1213.94</v>
      </c>
      <c r="L97">
        <v>1177.01</v>
      </c>
      <c r="M97">
        <v>1187.4499999999998</v>
      </c>
      <c r="P97">
        <v>1159.02</v>
      </c>
      <c r="Q97">
        <v>1184</v>
      </c>
      <c r="R97">
        <v>1169.48</v>
      </c>
      <c r="S97">
        <v>1162.78</v>
      </c>
      <c r="T97">
        <v>1183.05</v>
      </c>
      <c r="W97">
        <v>746.88099999999997</v>
      </c>
      <c r="X97">
        <v>718.36400000000003</v>
      </c>
      <c r="Y97">
        <v>1560.29</v>
      </c>
      <c r="Z97">
        <v>1692.62</v>
      </c>
      <c r="AA97">
        <v>1448.33</v>
      </c>
      <c r="AD97">
        <v>793.63800000000003</v>
      </c>
      <c r="AE97">
        <v>717.34500000000003</v>
      </c>
      <c r="AF97">
        <v>1569.18</v>
      </c>
      <c r="AG97">
        <v>2132.58</v>
      </c>
      <c r="AH97">
        <v>1628.41</v>
      </c>
      <c r="AK97">
        <v>660.16399999999999</v>
      </c>
      <c r="AL97">
        <v>677.04899999999998</v>
      </c>
      <c r="AM97">
        <v>1400.33</v>
      </c>
      <c r="AN97">
        <v>1510.69</v>
      </c>
      <c r="AO97">
        <v>1406.58</v>
      </c>
    </row>
    <row r="98" spans="1:41">
      <c r="A98">
        <v>96</v>
      </c>
      <c r="B98">
        <v>1153.1099999999999</v>
      </c>
      <c r="C98">
        <v>1276.29</v>
      </c>
      <c r="D98">
        <v>1161.9299999999998</v>
      </c>
      <c r="E98">
        <v>1189.94</v>
      </c>
      <c r="F98">
        <v>1155</v>
      </c>
      <c r="I98">
        <v>1203.78</v>
      </c>
      <c r="J98">
        <v>1180.0900000000001</v>
      </c>
      <c r="K98">
        <v>1205.01</v>
      </c>
      <c r="L98">
        <v>1198.45</v>
      </c>
      <c r="M98">
        <v>1197</v>
      </c>
      <c r="P98">
        <v>1153.4000000000001</v>
      </c>
      <c r="Q98">
        <v>1182.9099999999999</v>
      </c>
      <c r="R98">
        <v>1170.8899999999999</v>
      </c>
      <c r="S98">
        <v>1188.3699999999999</v>
      </c>
      <c r="T98">
        <v>1156.49</v>
      </c>
      <c r="W98">
        <v>751.298</v>
      </c>
      <c r="X98">
        <v>657.94399999999996</v>
      </c>
      <c r="Y98">
        <v>1519.87</v>
      </c>
      <c r="Z98">
        <v>1547</v>
      </c>
      <c r="AA98">
        <v>1570.25</v>
      </c>
      <c r="AD98">
        <v>731.38199999999995</v>
      </c>
      <c r="AE98">
        <v>760.27300000000002</v>
      </c>
      <c r="AF98">
        <v>1463</v>
      </c>
      <c r="AG98">
        <v>1873.78</v>
      </c>
      <c r="AH98">
        <v>1423.57</v>
      </c>
      <c r="AK98">
        <v>687.73199999999997</v>
      </c>
      <c r="AL98">
        <v>649.404</v>
      </c>
      <c r="AM98">
        <v>1395.82</v>
      </c>
      <c r="AN98">
        <v>1520.21</v>
      </c>
      <c r="AO98">
        <v>1440.12</v>
      </c>
    </row>
    <row r="99" spans="1:41">
      <c r="A99">
        <v>97</v>
      </c>
      <c r="B99">
        <v>1179.92</v>
      </c>
      <c r="C99">
        <v>1157.99</v>
      </c>
      <c r="D99">
        <v>1189.25</v>
      </c>
      <c r="E99">
        <v>1162.49</v>
      </c>
      <c r="F99">
        <v>1178.6499999999999</v>
      </c>
      <c r="I99">
        <v>1240.77</v>
      </c>
      <c r="J99">
        <v>1181.24</v>
      </c>
      <c r="K99">
        <v>1168.8599999999999</v>
      </c>
      <c r="L99">
        <v>1194.6699999999998</v>
      </c>
      <c r="M99">
        <v>1167.78</v>
      </c>
      <c r="P99">
        <v>1187.8599999999999</v>
      </c>
      <c r="Q99">
        <v>1161.1100000000001</v>
      </c>
      <c r="R99">
        <v>1204.02</v>
      </c>
      <c r="S99">
        <v>1244.79</v>
      </c>
      <c r="T99">
        <v>1196.1999999999998</v>
      </c>
      <c r="W99">
        <v>727.74199999999996</v>
      </c>
      <c r="X99">
        <v>708.78200000000004</v>
      </c>
      <c r="Y99">
        <v>1643.83</v>
      </c>
      <c r="Z99">
        <v>1714.11</v>
      </c>
      <c r="AA99">
        <v>1671.26</v>
      </c>
      <c r="AD99">
        <v>656.48199999999997</v>
      </c>
      <c r="AE99">
        <v>644.62900000000002</v>
      </c>
      <c r="AF99">
        <v>1405.82</v>
      </c>
      <c r="AG99">
        <v>1911.07</v>
      </c>
      <c r="AH99">
        <v>1426.88</v>
      </c>
      <c r="AK99">
        <v>659.17399999999998</v>
      </c>
      <c r="AL99">
        <v>649.63</v>
      </c>
      <c r="AM99">
        <v>1429.26</v>
      </c>
      <c r="AN99">
        <v>1488.84</v>
      </c>
      <c r="AO99">
        <v>1434.98</v>
      </c>
    </row>
    <row r="100" spans="1:41">
      <c r="A100">
        <v>98</v>
      </c>
      <c r="B100">
        <v>1155.1099999999999</v>
      </c>
      <c r="C100">
        <v>1183.81</v>
      </c>
      <c r="D100">
        <v>1163.5</v>
      </c>
      <c r="E100">
        <v>1161.5800000000002</v>
      </c>
      <c r="F100">
        <v>1181.9299999999998</v>
      </c>
      <c r="I100">
        <v>1183.8399999999999</v>
      </c>
      <c r="J100">
        <v>1164</v>
      </c>
      <c r="K100">
        <v>1191.4499999999998</v>
      </c>
      <c r="L100">
        <v>1166.6799999999998</v>
      </c>
      <c r="M100">
        <v>1197.3100000000002</v>
      </c>
      <c r="P100">
        <v>1165.67</v>
      </c>
      <c r="Q100">
        <v>1189.57</v>
      </c>
      <c r="R100">
        <v>1173.06</v>
      </c>
      <c r="S100">
        <v>1187.95</v>
      </c>
      <c r="T100">
        <v>1163.72</v>
      </c>
      <c r="W100">
        <v>793.96299999999997</v>
      </c>
      <c r="X100">
        <v>784.62199999999996</v>
      </c>
      <c r="Y100">
        <v>1610.37</v>
      </c>
      <c r="Z100">
        <v>1574.26</v>
      </c>
      <c r="AA100">
        <v>1419.71</v>
      </c>
      <c r="AD100">
        <v>705.95699999999999</v>
      </c>
      <c r="AE100">
        <v>682.81200000000001</v>
      </c>
      <c r="AF100">
        <v>1439.86</v>
      </c>
      <c r="AG100">
        <v>2238.2600000000002</v>
      </c>
      <c r="AH100">
        <v>1608.88</v>
      </c>
      <c r="AK100">
        <v>661.44299999999998</v>
      </c>
      <c r="AL100">
        <v>648.44500000000005</v>
      </c>
      <c r="AM100">
        <v>1415.02</v>
      </c>
      <c r="AN100">
        <v>1516.52</v>
      </c>
      <c r="AO100">
        <v>1406.14</v>
      </c>
    </row>
    <row r="101" spans="1:41">
      <c r="A101">
        <v>99</v>
      </c>
      <c r="B101">
        <v>1154.7</v>
      </c>
      <c r="C101">
        <v>1179.3899999999999</v>
      </c>
      <c r="D101">
        <v>1164.4099999999999</v>
      </c>
      <c r="E101">
        <v>1182.79</v>
      </c>
      <c r="F101">
        <v>1153.05</v>
      </c>
      <c r="I101">
        <v>1197.3399999999999</v>
      </c>
      <c r="J101">
        <v>1306.43</v>
      </c>
      <c r="K101">
        <v>1187.28</v>
      </c>
      <c r="L101">
        <v>1190.8799999999999</v>
      </c>
      <c r="M101">
        <v>1205.95</v>
      </c>
      <c r="P101">
        <v>1164.57</v>
      </c>
      <c r="Q101">
        <v>1238.3900000000001</v>
      </c>
      <c r="R101">
        <v>1212.47</v>
      </c>
      <c r="S101">
        <v>1203.97</v>
      </c>
      <c r="T101">
        <v>1180.31</v>
      </c>
      <c r="W101">
        <v>653.31100000000004</v>
      </c>
      <c r="X101">
        <v>631.68399999999997</v>
      </c>
      <c r="Y101">
        <v>1386.29</v>
      </c>
      <c r="Z101">
        <v>1528.63</v>
      </c>
      <c r="AA101">
        <v>1553.6</v>
      </c>
      <c r="AD101">
        <v>764.38099999999997</v>
      </c>
      <c r="AE101">
        <v>678.59100000000001</v>
      </c>
      <c r="AF101">
        <v>1478.32</v>
      </c>
      <c r="AG101">
        <v>1908.63</v>
      </c>
      <c r="AH101">
        <v>1459.09</v>
      </c>
      <c r="AK101">
        <v>659.65499999999997</v>
      </c>
      <c r="AL101">
        <v>674.17499999999995</v>
      </c>
      <c r="AM101">
        <v>1395.64</v>
      </c>
      <c r="AN101">
        <v>1514.16</v>
      </c>
      <c r="AO101">
        <v>1432.44</v>
      </c>
    </row>
    <row r="102" spans="1:41">
      <c r="A102">
        <v>100</v>
      </c>
      <c r="B102" s="16">
        <v>1176.18</v>
      </c>
      <c r="C102" s="16">
        <v>1157</v>
      </c>
      <c r="D102" s="16">
        <v>1186.07</v>
      </c>
      <c r="E102" s="16">
        <v>1162.96</v>
      </c>
      <c r="F102" s="16">
        <v>1178.1699999999998</v>
      </c>
      <c r="I102" s="16">
        <v>1179.19</v>
      </c>
      <c r="J102" s="16">
        <v>1219.57</v>
      </c>
      <c r="K102" s="16">
        <v>1180.48</v>
      </c>
      <c r="L102" s="16">
        <v>1224.17</v>
      </c>
      <c r="M102" s="16">
        <v>1168.76</v>
      </c>
      <c r="P102" s="16">
        <v>1310.43</v>
      </c>
      <c r="Q102" s="16">
        <v>1206</v>
      </c>
      <c r="R102" s="16">
        <v>1285.8799999999999</v>
      </c>
      <c r="S102" s="16">
        <v>1203.4100000000001</v>
      </c>
      <c r="T102" s="16">
        <v>1207.3</v>
      </c>
      <c r="W102" s="16">
        <v>712.13</v>
      </c>
      <c r="X102" s="16">
        <v>677.41099999999994</v>
      </c>
      <c r="Y102" s="16">
        <v>1662.34</v>
      </c>
      <c r="Z102" s="16">
        <v>1723.55</v>
      </c>
      <c r="AA102" s="16">
        <v>1611.4</v>
      </c>
      <c r="AD102" s="16">
        <v>657.74199999999996</v>
      </c>
      <c r="AE102" s="16">
        <v>645.16499999999996</v>
      </c>
      <c r="AF102" s="16">
        <v>1428.5</v>
      </c>
      <c r="AG102" s="16">
        <v>1891.35</v>
      </c>
      <c r="AH102" s="16">
        <v>1442.46</v>
      </c>
      <c r="AI102" s="16"/>
      <c r="AK102" s="16">
        <v>660.24900000000002</v>
      </c>
      <c r="AL102" s="16">
        <v>656.69399999999996</v>
      </c>
      <c r="AM102" s="16">
        <v>1423.59</v>
      </c>
      <c r="AN102" s="16">
        <v>1483</v>
      </c>
      <c r="AO102" s="16">
        <v>1449.98</v>
      </c>
    </row>
    <row r="105" spans="1:41" ht="16" thickBot="1">
      <c r="A105" t="s">
        <v>24</v>
      </c>
      <c r="B105" s="2" t="s">
        <v>0</v>
      </c>
      <c r="C105" s="3" t="s">
        <v>1</v>
      </c>
      <c r="D105" s="3" t="s">
        <v>2</v>
      </c>
      <c r="E105" s="3" t="s">
        <v>3</v>
      </c>
      <c r="F105" s="4" t="s">
        <v>4</v>
      </c>
      <c r="H105" t="s">
        <v>24</v>
      </c>
      <c r="I105" s="2" t="s">
        <v>0</v>
      </c>
      <c r="J105" s="3" t="s">
        <v>1</v>
      </c>
      <c r="K105" s="3" t="s">
        <v>2</v>
      </c>
      <c r="L105" s="3" t="s">
        <v>3</v>
      </c>
      <c r="M105" s="4" t="s">
        <v>4</v>
      </c>
      <c r="O105" t="s">
        <v>24</v>
      </c>
      <c r="P105" s="2" t="s">
        <v>0</v>
      </c>
      <c r="Q105" s="3" t="s">
        <v>1</v>
      </c>
      <c r="R105" s="3" t="s">
        <v>2</v>
      </c>
      <c r="S105" s="3" t="s">
        <v>3</v>
      </c>
      <c r="T105" s="4" t="s">
        <v>4</v>
      </c>
      <c r="V105" t="s">
        <v>24</v>
      </c>
      <c r="W105" s="2" t="s">
        <v>0</v>
      </c>
      <c r="X105" s="3" t="s">
        <v>1</v>
      </c>
      <c r="Y105" s="3" t="s">
        <v>2</v>
      </c>
      <c r="Z105" s="3" t="s">
        <v>3</v>
      </c>
      <c r="AA105" s="4" t="s">
        <v>4</v>
      </c>
      <c r="AC105" t="s">
        <v>24</v>
      </c>
      <c r="AD105" s="2" t="s">
        <v>0</v>
      </c>
      <c r="AE105" s="3" t="s">
        <v>1</v>
      </c>
      <c r="AF105" s="3" t="s">
        <v>2</v>
      </c>
      <c r="AG105" s="3" t="s">
        <v>3</v>
      </c>
      <c r="AH105" s="4" t="s">
        <v>4</v>
      </c>
      <c r="AJ105" t="s">
        <v>24</v>
      </c>
      <c r="AK105" s="2" t="s">
        <v>0</v>
      </c>
      <c r="AL105" s="3" t="s">
        <v>1</v>
      </c>
      <c r="AM105" s="3" t="s">
        <v>2</v>
      </c>
      <c r="AN105" s="3" t="s">
        <v>3</v>
      </c>
      <c r="AO105" s="4" t="s">
        <v>4</v>
      </c>
    </row>
    <row r="106" spans="1:41" ht="16" thickTop="1">
      <c r="A106" s="5" t="s">
        <v>101</v>
      </c>
      <c r="B106">
        <f>AVERAGE(Enc16x10[ECB])</f>
        <v>1182.0320999999997</v>
      </c>
      <c r="C106">
        <f>AVERAGE(Enc16x10[CBC])</f>
        <v>1190.4000000000001</v>
      </c>
      <c r="D106">
        <f>AVERAGE(Enc16x10[OFB])</f>
        <v>1220.4304999999999</v>
      </c>
      <c r="E106">
        <f>AVERAGE(Enc16x10[CFB])</f>
        <v>1202.7247000000004</v>
      </c>
      <c r="F106">
        <f>AVERAGE(Enc16x10[CTR])</f>
        <v>1179.4971999999998</v>
      </c>
      <c r="H106" s="5" t="s">
        <v>101</v>
      </c>
      <c r="I106">
        <f>AVERAGE(Enc24x10[ECB])</f>
        <v>1193.1301000000003</v>
      </c>
      <c r="J106">
        <f>AVERAGE(Enc24x10[CBC])</f>
        <v>1191.4590999999998</v>
      </c>
      <c r="K106">
        <f>AVERAGE(Enc24x10[OFB])</f>
        <v>1190.4867000000002</v>
      </c>
      <c r="L106">
        <f>AVERAGE(Enc24x10[CFB])</f>
        <v>1187.1027999999994</v>
      </c>
      <c r="M106">
        <f>AVERAGE(Enc24x10[CTR])</f>
        <v>1187.8140999999994</v>
      </c>
      <c r="O106" s="5" t="s">
        <v>101</v>
      </c>
      <c r="P106">
        <f>AVERAGE(Enc32x10[ECB])</f>
        <v>1185.3488</v>
      </c>
      <c r="Q106">
        <f>AVERAGE(Enc32x10[CBC])</f>
        <v>1182.9124000000004</v>
      </c>
      <c r="R106">
        <f>AVERAGE(Enc32x10[OFB])</f>
        <v>1189.4182999999998</v>
      </c>
      <c r="S106">
        <f>AVERAGE(Enc32x10[CFB])</f>
        <v>1184.8855999999996</v>
      </c>
      <c r="T106">
        <f>AVERAGE(Enc32x10[CTR])</f>
        <v>1182.8336999999999</v>
      </c>
      <c r="V106" s="5" t="s">
        <v>101</v>
      </c>
      <c r="W106">
        <f>AVERAGE(Dec16x10[ECB])</f>
        <v>732.25806000000011</v>
      </c>
      <c r="X106">
        <f>AVERAGE(Dec16x10[CBC])</f>
        <v>713.52113999999972</v>
      </c>
      <c r="Y106">
        <f>AVERAGE(Dec16x10[OFB])</f>
        <v>1549.4658999999997</v>
      </c>
      <c r="Z106">
        <f>AVERAGE(Dec16x10[CFB])</f>
        <v>1618.3941999999993</v>
      </c>
      <c r="AA106">
        <f>AVERAGE(Dec16x10[CTR])</f>
        <v>1540.9600999999993</v>
      </c>
      <c r="AC106" s="5" t="s">
        <v>101</v>
      </c>
      <c r="AD106">
        <f>AVERAGE(DEc24x10[ECB])</f>
        <v>716.42056000000002</v>
      </c>
      <c r="AE106">
        <f>AVERAGE(DEc24x10[CBC])</f>
        <v>713.37619000000007</v>
      </c>
      <c r="AF106">
        <f>AVERAGE(DEc24x10[OFB])</f>
        <v>1502.4117999999996</v>
      </c>
      <c r="AG106">
        <f>AVERAGE(DEc24x10[CFB])</f>
        <v>2043.0439999999996</v>
      </c>
      <c r="AH106">
        <f>AVERAGE(DEc24x10[CTR])</f>
        <v>1538.1930000000007</v>
      </c>
      <c r="AJ106" s="5" t="s">
        <v>101</v>
      </c>
      <c r="AK106">
        <f>AVERAGE(Dec32x10[ECB])</f>
        <v>741.82153999999991</v>
      </c>
      <c r="AL106">
        <f>AVERAGE(Dec32x10[CBC])</f>
        <v>722.88204000000007</v>
      </c>
      <c r="AM106">
        <f>AVERAGE(Dec32x10[OFB])</f>
        <v>1544.6084000000001</v>
      </c>
      <c r="AN106">
        <f>AVERAGE(Dec32x10[CFB])</f>
        <v>1647.4158999999997</v>
      </c>
      <c r="AO106">
        <f>AVERAGE(Dec32x10[CTR])</f>
        <v>1561.4413000000004</v>
      </c>
    </row>
    <row r="107" spans="1:41">
      <c r="A107" s="8" t="s">
        <v>9</v>
      </c>
      <c r="B107">
        <f>MIN(Enc16x10[ECB])</f>
        <v>1149.2</v>
      </c>
      <c r="C107">
        <f>MIN(Enc16x10[CBC])</f>
        <v>1153.28</v>
      </c>
      <c r="D107">
        <f>MIN(Enc16x10[OFB])</f>
        <v>1161.9299999999998</v>
      </c>
      <c r="E107">
        <f>MIN(Enc16x10[CFB])</f>
        <v>1159.83</v>
      </c>
      <c r="F107">
        <f>MIN(Enc16x10[CTR])</f>
        <v>1151.18</v>
      </c>
      <c r="H107" s="8" t="s">
        <v>9</v>
      </c>
      <c r="I107">
        <f>MIN(Enc24x10[ECB])</f>
        <v>1161.1199999999999</v>
      </c>
      <c r="J107">
        <f>MIN(Enc24x10[CBC])</f>
        <v>1162</v>
      </c>
      <c r="K107">
        <f>MIN(Enc24x10[OFB])</f>
        <v>1165.29</v>
      </c>
      <c r="L107">
        <f>MIN(Enc24x10[CFB])</f>
        <v>1162.51</v>
      </c>
      <c r="M107">
        <f>MIN(Enc24x10[CTR])</f>
        <v>1162.8799999999999</v>
      </c>
      <c r="O107" s="8" t="s">
        <v>9</v>
      </c>
      <c r="P107">
        <f>MIN(Enc32x10[ECB])</f>
        <v>1153.4000000000001</v>
      </c>
      <c r="Q107">
        <f>MIN(Enc32x10[CBC])</f>
        <v>1156.0600000000002</v>
      </c>
      <c r="R107">
        <f>MIN(Enc32x10[OFB])</f>
        <v>1167.6299999999999</v>
      </c>
      <c r="S107">
        <f>MIN(Enc32x10[CFB])</f>
        <v>1160.8599999999999</v>
      </c>
      <c r="T107">
        <f>MIN(Enc32x10[CTR])</f>
        <v>1154.9100000000001</v>
      </c>
      <c r="V107" s="8" t="s">
        <v>9</v>
      </c>
      <c r="W107">
        <f>MIN(Dec16x10[ECB])</f>
        <v>623.67899999999997</v>
      </c>
      <c r="X107">
        <f>MIN(Dec16x10[CBC])</f>
        <v>626.50599999999997</v>
      </c>
      <c r="Y107">
        <f>MIN(Dec16x10[OFB])</f>
        <v>1363.03</v>
      </c>
      <c r="Z107">
        <f>MIN(Dec16x10[CFB])</f>
        <v>1453.66</v>
      </c>
      <c r="AA107">
        <f>MIN(Dec16x10[CTR])</f>
        <v>1389.71</v>
      </c>
      <c r="AC107" s="8" t="s">
        <v>9</v>
      </c>
      <c r="AD107">
        <f>MIN(DEc24x10[ECB])</f>
        <v>641.78</v>
      </c>
      <c r="AE107">
        <f>MIN(DEc24x10[CBC])</f>
        <v>642.07000000000005</v>
      </c>
      <c r="AF107">
        <f>MIN(DEc24x10[OFB])</f>
        <v>1376.31</v>
      </c>
      <c r="AG107">
        <f>MIN(DEc24x10[CFB])</f>
        <v>1873.78</v>
      </c>
      <c r="AH107">
        <f>MIN(DEc24x10[CTR])</f>
        <v>1396.6</v>
      </c>
      <c r="AJ107" s="8" t="s">
        <v>9</v>
      </c>
      <c r="AK107">
        <f>MIN(Dec32x10[ECB])</f>
        <v>658.14</v>
      </c>
      <c r="AL107">
        <f>MIN(Dec32x10[CBC])</f>
        <v>648.07299999999998</v>
      </c>
      <c r="AM107">
        <f>MIN(Dec32x10[OFB])</f>
        <v>1395.64</v>
      </c>
      <c r="AN107">
        <f>MIN(Dec32x10[CFB])</f>
        <v>1483</v>
      </c>
      <c r="AO107">
        <f>MIN(Dec32x10[CTR])</f>
        <v>1405.86</v>
      </c>
    </row>
    <row r="108" spans="1:41">
      <c r="A108" s="5" t="s">
        <v>10</v>
      </c>
      <c r="B108">
        <f>MAX(Enc16x10[ECB])</f>
        <v>1678.15</v>
      </c>
      <c r="C108">
        <f>MAX(Enc16x10[CBC])</f>
        <v>1649.88</v>
      </c>
      <c r="D108">
        <f>MAX(Enc16x10[OFB])</f>
        <v>3122.36</v>
      </c>
      <c r="E108">
        <f>MAX(Enc16x10[CFB])</f>
        <v>2146.3399999999997</v>
      </c>
      <c r="F108">
        <f>MAX(Enc16x10[CTR])</f>
        <v>1380.16</v>
      </c>
      <c r="H108" s="5" t="s">
        <v>10</v>
      </c>
      <c r="I108">
        <f>MAX(Enc24x10[ECB])</f>
        <v>1454.54</v>
      </c>
      <c r="J108">
        <f>MAX(Enc24x10[CBC])</f>
        <v>1350.43</v>
      </c>
      <c r="K108">
        <f>MAX(Enc24x10[OFB])</f>
        <v>1414.9099999999999</v>
      </c>
      <c r="L108">
        <f>MAX(Enc24x10[CFB])</f>
        <v>1343.71</v>
      </c>
      <c r="M108">
        <f>MAX(Enc24x10[CTR])</f>
        <v>1316.75</v>
      </c>
      <c r="O108" s="5" t="s">
        <v>10</v>
      </c>
      <c r="P108">
        <f>MAX(Enc32x10[ECB])</f>
        <v>1385.54</v>
      </c>
      <c r="Q108">
        <f>MAX(Enc32x10[CBC])</f>
        <v>1406.18</v>
      </c>
      <c r="R108">
        <f>MAX(Enc32x10[OFB])</f>
        <v>1299.6399999999999</v>
      </c>
      <c r="S108">
        <f>MAX(Enc32x10[CFB])</f>
        <v>1384.45</v>
      </c>
      <c r="T108">
        <f>MAX(Enc32x10[CTR])</f>
        <v>1296.77</v>
      </c>
      <c r="V108" s="5" t="s">
        <v>10</v>
      </c>
      <c r="W108">
        <f>MAX(Dec16x10[ECB])</f>
        <v>921.03200000000004</v>
      </c>
      <c r="X108">
        <f>MAX(Dec16x10[CBC])</f>
        <v>961.84100000000001</v>
      </c>
      <c r="Y108">
        <f>MAX(Dec16x10[OFB])</f>
        <v>1814.28</v>
      </c>
      <c r="Z108">
        <f>MAX(Dec16x10[CFB])</f>
        <v>1872.27</v>
      </c>
      <c r="AA108">
        <f>MAX(Dec16x10[CTR])</f>
        <v>1834.94</v>
      </c>
      <c r="AC108" s="5" t="s">
        <v>10</v>
      </c>
      <c r="AD108">
        <f>MAX(DEc24x10[ECB])</f>
        <v>874.65099999999995</v>
      </c>
      <c r="AE108">
        <f>MAX(DEc24x10[CBC])</f>
        <v>910.12099999999998</v>
      </c>
      <c r="AF108">
        <f>MAX(DEc24x10[OFB])</f>
        <v>1733.52</v>
      </c>
      <c r="AG108">
        <f>MAX(DEc24x10[CFB])</f>
        <v>2434.65</v>
      </c>
      <c r="AH108">
        <f>MAX(DEc24x10[CTR])</f>
        <v>1809.69</v>
      </c>
      <c r="AJ108" s="5" t="s">
        <v>10</v>
      </c>
      <c r="AK108">
        <f>MAX(Dec32x10[ECB])</f>
        <v>973.351</v>
      </c>
      <c r="AL108">
        <f>MAX(Dec32x10[CBC])</f>
        <v>1083.3399999999999</v>
      </c>
      <c r="AM108">
        <f>MAX(Dec32x10[OFB])</f>
        <v>2014.8</v>
      </c>
      <c r="AN108">
        <f>MAX(Dec32x10[CFB])</f>
        <v>2125.83</v>
      </c>
      <c r="AO108">
        <f>MAX(Dec32x10[CTR])</f>
        <v>2162.38</v>
      </c>
    </row>
    <row r="109" spans="1:41">
      <c r="A109" s="8" t="s">
        <v>8</v>
      </c>
      <c r="B109">
        <f>MEDIAN(Enc16x10[ECB])</f>
        <v>1174.585</v>
      </c>
      <c r="C109">
        <f>MEDIAN(Enc16x10[CBC])</f>
        <v>1176.9350000000002</v>
      </c>
      <c r="D109">
        <f>MEDIAN(Enc16x10[OFB])</f>
        <v>1184.145</v>
      </c>
      <c r="E109">
        <f>MEDIAN(Enc16x10[CFB])</f>
        <v>1185.19</v>
      </c>
      <c r="F109">
        <f>MEDIAN(Enc16x10[CTR])</f>
        <v>1174.365</v>
      </c>
      <c r="H109" s="8" t="s">
        <v>8</v>
      </c>
      <c r="I109">
        <f>MEDIAN(Enc24x10[ECB])</f>
        <v>1186.9949999999999</v>
      </c>
      <c r="J109">
        <f>MEDIAN(Enc24x10[CBC])</f>
        <v>1186.3000000000002</v>
      </c>
      <c r="K109">
        <f>MEDIAN(Enc24x10[OFB])</f>
        <v>1184.79</v>
      </c>
      <c r="L109">
        <f>MEDIAN(Enc24x10[CFB])</f>
        <v>1186.82</v>
      </c>
      <c r="M109">
        <f>MEDIAN(Enc24x10[CTR])</f>
        <v>1183.95</v>
      </c>
      <c r="O109" s="8" t="s">
        <v>8</v>
      </c>
      <c r="P109">
        <f>MEDIAN(Enc32x10[ECB])</f>
        <v>1179.395</v>
      </c>
      <c r="Q109">
        <f>MEDIAN(Enc32x10[CBC])</f>
        <v>1178.8699999999999</v>
      </c>
      <c r="R109">
        <f>MEDIAN(Enc32x10[OFB])</f>
        <v>1186.2950000000001</v>
      </c>
      <c r="S109">
        <f>MEDIAN(Enc32x10[CFB])</f>
        <v>1183.895</v>
      </c>
      <c r="T109">
        <f>MEDIAN(Enc32x10[CTR])</f>
        <v>1178.915</v>
      </c>
      <c r="V109" s="8" t="s">
        <v>8</v>
      </c>
      <c r="W109">
        <f>MEDIAN(Dec16x10[ECB])</f>
        <v>729.69399999999996</v>
      </c>
      <c r="X109">
        <f>MEDIAN(Dec16x10[CBC])</f>
        <v>711.55549999999994</v>
      </c>
      <c r="Y109">
        <f>MEDIAN(Dec16x10[OFB])</f>
        <v>1533.3600000000001</v>
      </c>
      <c r="Z109">
        <f>MEDIAN(Dec16x10[CFB])</f>
        <v>1592.42</v>
      </c>
      <c r="AA109">
        <f>MEDIAN(Dec16x10[CTR])</f>
        <v>1537.71</v>
      </c>
      <c r="AC109" s="8" t="s">
        <v>8</v>
      </c>
      <c r="AD109">
        <f>MEDIAN(DEc24x10[ECB])</f>
        <v>702.2405</v>
      </c>
      <c r="AE109">
        <f>MEDIAN(DEc24x10[CBC])</f>
        <v>705.43949999999995</v>
      </c>
      <c r="AF109">
        <f>MEDIAN(DEc24x10[OFB])</f>
        <v>1473.9099999999999</v>
      </c>
      <c r="AG109">
        <f>MEDIAN(DEc24x10[CFB])</f>
        <v>2020.48</v>
      </c>
      <c r="AH109">
        <f>MEDIAN(DEc24x10[CTR])</f>
        <v>1520.94</v>
      </c>
      <c r="AJ109" s="8" t="s">
        <v>8</v>
      </c>
      <c r="AK109">
        <f>MEDIAN(Dec32x10[ECB])</f>
        <v>739.97149999999999</v>
      </c>
      <c r="AL109">
        <f>MEDIAN(Dec32x10[CBC])</f>
        <v>715.07349999999997</v>
      </c>
      <c r="AM109">
        <f>MEDIAN(Dec32x10[OFB])</f>
        <v>1510.635</v>
      </c>
      <c r="AN109">
        <f>MEDIAN(Dec32x10[CFB])</f>
        <v>1622.085</v>
      </c>
      <c r="AO109">
        <f>MEDIAN(Dec32x10[CTR])</f>
        <v>1525.19</v>
      </c>
    </row>
    <row r="110" spans="1:41">
      <c r="A110" s="46" t="s">
        <v>92</v>
      </c>
      <c r="B110" s="16">
        <f>10000/B106</f>
        <v>8.4600071351700201</v>
      </c>
      <c r="C110" s="16">
        <f t="shared" ref="C110:F110" si="0">10000/C106</f>
        <v>8.400537634408602</v>
      </c>
      <c r="D110" s="16">
        <f t="shared" si="0"/>
        <v>8.1938299640987342</v>
      </c>
      <c r="E110" s="16">
        <f t="shared" si="0"/>
        <v>8.3144546711313048</v>
      </c>
      <c r="F110" s="16">
        <f t="shared" si="0"/>
        <v>8.4781888418217548</v>
      </c>
      <c r="H110" s="46" t="s">
        <v>92</v>
      </c>
      <c r="I110" s="16">
        <f>10000/I106</f>
        <v>8.3813156670844169</v>
      </c>
      <c r="J110" s="16">
        <f t="shared" ref="J110:M110" si="1">10000/J106</f>
        <v>8.3930703118554391</v>
      </c>
      <c r="K110" s="16">
        <f t="shared" si="1"/>
        <v>8.3999258454546357</v>
      </c>
      <c r="L110" s="16">
        <f t="shared" si="1"/>
        <v>8.4238702831801966</v>
      </c>
      <c r="M110" s="16">
        <f t="shared" si="1"/>
        <v>8.4188258078431684</v>
      </c>
      <c r="O110" s="46" t="s">
        <v>92</v>
      </c>
      <c r="P110" s="16">
        <f>10000/P106</f>
        <v>8.4363353639030141</v>
      </c>
      <c r="Q110" s="16">
        <f t="shared" ref="Q110:T110" si="2">10000/Q106</f>
        <v>8.4537113652710012</v>
      </c>
      <c r="R110" s="16">
        <f t="shared" si="2"/>
        <v>8.4074711142413072</v>
      </c>
      <c r="S110" s="16">
        <f t="shared" si="2"/>
        <v>8.4396333283145673</v>
      </c>
      <c r="T110" s="16">
        <f t="shared" si="2"/>
        <v>8.4542738340985721</v>
      </c>
      <c r="V110" s="46" t="s">
        <v>92</v>
      </c>
      <c r="W110" s="16">
        <f>10000/W106</f>
        <v>13.656387749422654</v>
      </c>
      <c r="X110" s="16">
        <f t="shared" ref="X110:AA110" si="3">10000/X106</f>
        <v>14.015001713894565</v>
      </c>
      <c r="Y110" s="16">
        <f t="shared" si="3"/>
        <v>6.4538367704639397</v>
      </c>
      <c r="Z110" s="16">
        <f t="shared" si="3"/>
        <v>6.1789643091899391</v>
      </c>
      <c r="AA110" s="16">
        <f t="shared" si="3"/>
        <v>6.4894606940179722</v>
      </c>
      <c r="AC110" s="46" t="s">
        <v>92</v>
      </c>
      <c r="AD110" s="16">
        <f>10000/AD106</f>
        <v>13.958281710954806</v>
      </c>
      <c r="AE110" s="16">
        <f t="shared" ref="AE110:AH110" si="4">10000/AE106</f>
        <v>14.017849404253313</v>
      </c>
      <c r="AF110" s="16">
        <f t="shared" si="4"/>
        <v>6.6559647627900702</v>
      </c>
      <c r="AG110" s="16">
        <f t="shared" si="4"/>
        <v>4.8946571879998677</v>
      </c>
      <c r="AH110" s="16">
        <f t="shared" si="4"/>
        <v>6.5011347730746376</v>
      </c>
      <c r="AJ110" s="46" t="s">
        <v>92</v>
      </c>
      <c r="AK110" s="16">
        <f>10000/AK106</f>
        <v>13.480331131932353</v>
      </c>
      <c r="AL110" s="16">
        <f t="shared" ref="AL110:AO110" si="5">10000/AL106</f>
        <v>13.833515631402323</v>
      </c>
      <c r="AM110" s="16">
        <f t="shared" si="5"/>
        <v>6.4741328611187141</v>
      </c>
      <c r="AN110" s="16">
        <f t="shared" si="5"/>
        <v>6.0701125926974493</v>
      </c>
      <c r="AO110" s="16">
        <f t="shared" si="5"/>
        <v>6.404339375421924</v>
      </c>
    </row>
  </sheetData>
  <pageMargins left="0.75" right="0.75" top="1" bottom="1" header="0.5" footer="0.5"/>
  <pageSetup paperSize="9" orientation="portrait" horizontalDpi="4294967292" verticalDpi="4294967292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110"/>
  <sheetViews>
    <sheetView workbookViewId="0">
      <selection activeCell="AR111" sqref="AR111"/>
    </sheetView>
  </sheetViews>
  <sheetFormatPr baseColWidth="10" defaultRowHeight="15" x14ac:dyDescent="0"/>
  <sheetData>
    <row r="1" spans="2:44">
      <c r="B1" t="s">
        <v>15</v>
      </c>
      <c r="I1" t="s">
        <v>16</v>
      </c>
      <c r="P1" t="s">
        <v>17</v>
      </c>
      <c r="W1" t="s">
        <v>18</v>
      </c>
      <c r="AD1" t="s">
        <v>19</v>
      </c>
      <c r="AK1" t="s">
        <v>20</v>
      </c>
    </row>
    <row r="2" spans="2:44"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21</v>
      </c>
      <c r="AQ2" t="s">
        <v>5</v>
      </c>
      <c r="AR2" t="s">
        <v>6</v>
      </c>
    </row>
    <row r="3" spans="2:44">
      <c r="B3">
        <v>30084.3</v>
      </c>
      <c r="C3">
        <v>30009.599999999999</v>
      </c>
      <c r="D3">
        <v>30301</v>
      </c>
      <c r="E3">
        <v>30066</v>
      </c>
      <c r="F3">
        <v>30268.2</v>
      </c>
      <c r="I3">
        <v>32635.200000000001</v>
      </c>
      <c r="J3">
        <v>33597</v>
      </c>
      <c r="K3">
        <v>33253.9</v>
      </c>
      <c r="L3">
        <v>31670.400000000001</v>
      </c>
      <c r="M3">
        <v>31091.599999999999</v>
      </c>
      <c r="P3">
        <v>31876.7</v>
      </c>
      <c r="Q3">
        <v>33063.5</v>
      </c>
      <c r="R3">
        <v>32392.699999999997</v>
      </c>
      <c r="S3">
        <v>31459.200000000001</v>
      </c>
      <c r="T3">
        <v>31523.800000000003</v>
      </c>
      <c r="W3">
        <v>18906</v>
      </c>
      <c r="X3">
        <v>22005.200000000001</v>
      </c>
      <c r="Y3">
        <v>38265.300000000003</v>
      </c>
      <c r="Z3">
        <v>39995.9</v>
      </c>
      <c r="AA3">
        <v>39724.199999999997</v>
      </c>
      <c r="AD3">
        <v>21305.7</v>
      </c>
      <c r="AE3">
        <v>19402.900000000001</v>
      </c>
      <c r="AF3">
        <v>40333.199999999997</v>
      </c>
      <c r="AG3">
        <v>46152.6</v>
      </c>
      <c r="AH3">
        <v>40389.800000000003</v>
      </c>
      <c r="AK3">
        <v>19476.5</v>
      </c>
      <c r="AL3">
        <v>17562.2</v>
      </c>
      <c r="AM3">
        <v>36790</v>
      </c>
      <c r="AN3">
        <v>38586.800000000003</v>
      </c>
      <c r="AO3">
        <v>36952.400000000001</v>
      </c>
    </row>
    <row r="4" spans="2:44">
      <c r="B4">
        <v>30108.7</v>
      </c>
      <c r="C4">
        <v>30396.2</v>
      </c>
      <c r="D4">
        <v>30218.399999999998</v>
      </c>
      <c r="E4">
        <v>30629.899999999998</v>
      </c>
      <c r="F4">
        <v>30772.9</v>
      </c>
      <c r="I4">
        <v>31687.4</v>
      </c>
      <c r="J4">
        <v>30614.799999999999</v>
      </c>
      <c r="K4">
        <v>32961</v>
      </c>
      <c r="L4">
        <v>34239.600000000006</v>
      </c>
      <c r="M4">
        <v>30859</v>
      </c>
      <c r="P4">
        <v>30934.2</v>
      </c>
      <c r="Q4">
        <v>31301.4</v>
      </c>
      <c r="R4">
        <v>31352.9</v>
      </c>
      <c r="S4">
        <v>32474.800000000003</v>
      </c>
      <c r="T4">
        <v>32815.9</v>
      </c>
      <c r="W4">
        <v>18973.8</v>
      </c>
      <c r="X4">
        <v>18748.5</v>
      </c>
      <c r="Y4">
        <v>37475.699999999997</v>
      </c>
      <c r="Z4">
        <v>40590.9</v>
      </c>
      <c r="AA4">
        <v>37724.9</v>
      </c>
      <c r="AD4">
        <v>20084.8</v>
      </c>
      <c r="AE4">
        <v>19655</v>
      </c>
      <c r="AF4">
        <v>57111.5</v>
      </c>
      <c r="AG4">
        <v>44228.4</v>
      </c>
      <c r="AH4">
        <v>39644.199999999997</v>
      </c>
      <c r="AK4">
        <v>17628</v>
      </c>
      <c r="AL4">
        <v>17566.900000000001</v>
      </c>
      <c r="AM4">
        <v>36217.4</v>
      </c>
      <c r="AN4">
        <v>38955.800000000003</v>
      </c>
      <c r="AO4">
        <v>37526.199999999997</v>
      </c>
    </row>
    <row r="5" spans="2:44">
      <c r="B5">
        <v>30524.2</v>
      </c>
      <c r="C5">
        <v>30206.600000000002</v>
      </c>
      <c r="D5">
        <v>30883.1</v>
      </c>
      <c r="E5">
        <v>30062.5</v>
      </c>
      <c r="F5">
        <v>30416.1</v>
      </c>
      <c r="I5">
        <v>31281.9</v>
      </c>
      <c r="J5">
        <v>29899.100000000002</v>
      </c>
      <c r="K5">
        <v>30952.799999999999</v>
      </c>
      <c r="L5">
        <v>30611.200000000001</v>
      </c>
      <c r="M5">
        <v>31465.200000000001</v>
      </c>
      <c r="P5">
        <v>31396.799999999999</v>
      </c>
      <c r="Q5">
        <v>30945.599999999999</v>
      </c>
      <c r="R5">
        <v>31710.899999999998</v>
      </c>
      <c r="S5">
        <v>32107.100000000002</v>
      </c>
      <c r="T5">
        <v>32173.699999999997</v>
      </c>
      <c r="W5">
        <v>17906.099999999999</v>
      </c>
      <c r="X5">
        <v>17832.400000000001</v>
      </c>
      <c r="Y5">
        <v>37977.5</v>
      </c>
      <c r="Z5">
        <v>39816.699999999997</v>
      </c>
      <c r="AA5">
        <v>38181.9</v>
      </c>
      <c r="AD5">
        <v>19669.5</v>
      </c>
      <c r="AE5">
        <v>18891.900000000001</v>
      </c>
      <c r="AF5">
        <v>39655.5</v>
      </c>
      <c r="AG5">
        <v>42340.1</v>
      </c>
      <c r="AH5">
        <v>42072.3</v>
      </c>
      <c r="AK5">
        <v>17824.099999999999</v>
      </c>
      <c r="AL5">
        <v>19005.900000000001</v>
      </c>
      <c r="AM5">
        <v>36684.9</v>
      </c>
      <c r="AN5">
        <v>39034.6</v>
      </c>
      <c r="AO5">
        <v>36872.199999999997</v>
      </c>
    </row>
    <row r="6" spans="2:44">
      <c r="B6">
        <v>30105.8</v>
      </c>
      <c r="C6">
        <v>30616.7</v>
      </c>
      <c r="D6">
        <v>30496.7</v>
      </c>
      <c r="E6">
        <v>30823.599999999999</v>
      </c>
      <c r="F6">
        <v>30027.200000000001</v>
      </c>
      <c r="I6">
        <v>30400.799999999999</v>
      </c>
      <c r="J6">
        <v>30879.899999999998</v>
      </c>
      <c r="K6">
        <v>30096.3</v>
      </c>
      <c r="L6">
        <v>30892.9</v>
      </c>
      <c r="M6">
        <v>30536.5</v>
      </c>
      <c r="P6">
        <v>31139.3</v>
      </c>
      <c r="Q6">
        <v>31619.9</v>
      </c>
      <c r="R6">
        <v>36804.400000000001</v>
      </c>
      <c r="S6">
        <v>31770.5</v>
      </c>
      <c r="T6">
        <v>31995</v>
      </c>
      <c r="W6">
        <v>18398.599999999999</v>
      </c>
      <c r="X6">
        <v>18355.400000000001</v>
      </c>
      <c r="Y6">
        <v>38083.1</v>
      </c>
      <c r="Z6">
        <v>39240.400000000001</v>
      </c>
      <c r="AA6">
        <v>38234.400000000001</v>
      </c>
      <c r="AD6">
        <v>19300</v>
      </c>
      <c r="AE6">
        <v>18975</v>
      </c>
      <c r="AF6">
        <v>40957.9</v>
      </c>
      <c r="AG6">
        <v>42418</v>
      </c>
      <c r="AH6">
        <v>40521.4</v>
      </c>
      <c r="AK6">
        <v>17056.7</v>
      </c>
      <c r="AL6">
        <v>17796.400000000001</v>
      </c>
      <c r="AM6">
        <v>36252.5</v>
      </c>
      <c r="AN6">
        <v>38498.300000000003</v>
      </c>
      <c r="AO6">
        <v>36630.1</v>
      </c>
    </row>
    <row r="7" spans="2:44">
      <c r="B7">
        <v>30762.5</v>
      </c>
      <c r="C7">
        <v>30082.400000000001</v>
      </c>
      <c r="D7">
        <v>31530.400000000001</v>
      </c>
      <c r="E7">
        <v>30191.8</v>
      </c>
      <c r="F7">
        <v>30440.100000000002</v>
      </c>
      <c r="I7">
        <v>30627.4</v>
      </c>
      <c r="J7">
        <v>30243.9</v>
      </c>
      <c r="K7">
        <v>31112.400000000001</v>
      </c>
      <c r="L7">
        <v>30088.5</v>
      </c>
      <c r="M7">
        <v>31044.399999999998</v>
      </c>
      <c r="P7">
        <v>31455.7</v>
      </c>
      <c r="Q7">
        <v>32307.000000000004</v>
      </c>
      <c r="R7">
        <v>32727.4</v>
      </c>
      <c r="S7">
        <v>33099.200000000004</v>
      </c>
      <c r="T7">
        <v>31528.5</v>
      </c>
      <c r="W7">
        <v>19183.099999999999</v>
      </c>
      <c r="X7">
        <v>17954.900000000001</v>
      </c>
      <c r="Y7">
        <v>38115.599999999999</v>
      </c>
      <c r="Z7">
        <v>40066.400000000001</v>
      </c>
      <c r="AA7">
        <v>37942.5</v>
      </c>
      <c r="AD7">
        <v>19144.3</v>
      </c>
      <c r="AE7">
        <v>19223.900000000001</v>
      </c>
      <c r="AF7">
        <v>39495.9</v>
      </c>
      <c r="AG7">
        <v>43584.5</v>
      </c>
      <c r="AH7">
        <v>40391.199999999997</v>
      </c>
      <c r="AK7">
        <v>17204.3</v>
      </c>
      <c r="AL7">
        <v>18231.7</v>
      </c>
      <c r="AM7">
        <v>40805</v>
      </c>
      <c r="AN7">
        <v>39316.199999999997</v>
      </c>
      <c r="AO7">
        <v>39061.699999999997</v>
      </c>
    </row>
    <row r="8" spans="2:44">
      <c r="B8">
        <v>29935.9</v>
      </c>
      <c r="C8">
        <v>30382.400000000001</v>
      </c>
      <c r="D8">
        <v>30129.899999999998</v>
      </c>
      <c r="E8">
        <v>30540.3</v>
      </c>
      <c r="F8">
        <v>30413.1</v>
      </c>
      <c r="I8">
        <v>30608</v>
      </c>
      <c r="J8">
        <v>30293.5</v>
      </c>
      <c r="K8">
        <v>31117.3</v>
      </c>
      <c r="L8">
        <v>36089.399999999994</v>
      </c>
      <c r="M8">
        <v>30378.399999999998</v>
      </c>
      <c r="P8">
        <v>31926.6</v>
      </c>
      <c r="Q8">
        <v>31950.399999999998</v>
      </c>
      <c r="R8">
        <v>32000.399999999998</v>
      </c>
      <c r="S8">
        <v>31602.9</v>
      </c>
      <c r="T8">
        <v>31925.200000000001</v>
      </c>
      <c r="W8">
        <v>19469</v>
      </c>
      <c r="X8">
        <v>19125.7</v>
      </c>
      <c r="Y8">
        <v>37678.699999999997</v>
      </c>
      <c r="Z8">
        <v>41286.699999999997</v>
      </c>
      <c r="AA8">
        <v>38147</v>
      </c>
      <c r="AD8">
        <v>19298</v>
      </c>
      <c r="AE8">
        <v>18721.599999999999</v>
      </c>
      <c r="AF8">
        <v>40497.599999999999</v>
      </c>
      <c r="AG8">
        <v>43097.4</v>
      </c>
      <c r="AH8">
        <v>50454.400000000001</v>
      </c>
      <c r="AK8">
        <v>18539.5</v>
      </c>
      <c r="AL8">
        <v>19662.7</v>
      </c>
      <c r="AM8">
        <v>43328.2</v>
      </c>
      <c r="AN8">
        <v>42343.199999999997</v>
      </c>
      <c r="AO8">
        <v>38228.199999999997</v>
      </c>
    </row>
    <row r="9" spans="2:44">
      <c r="B9">
        <v>30266.1</v>
      </c>
      <c r="C9">
        <v>30131.8</v>
      </c>
      <c r="D9">
        <v>31021.7</v>
      </c>
      <c r="E9">
        <v>30324.799999999999</v>
      </c>
      <c r="F9">
        <v>30775.600000000002</v>
      </c>
      <c r="I9">
        <v>31007.9</v>
      </c>
      <c r="J9">
        <v>30732.9</v>
      </c>
      <c r="K9">
        <v>30940.2</v>
      </c>
      <c r="L9">
        <v>30547.599999999999</v>
      </c>
      <c r="M9">
        <v>30486.2</v>
      </c>
      <c r="P9">
        <v>30881.9</v>
      </c>
      <c r="Q9">
        <v>31912.600000000002</v>
      </c>
      <c r="R9">
        <v>32181.199999999997</v>
      </c>
      <c r="S9">
        <v>31561.200000000001</v>
      </c>
      <c r="T9">
        <v>31586.1</v>
      </c>
      <c r="W9">
        <v>18999.400000000001</v>
      </c>
      <c r="X9">
        <v>18764.5</v>
      </c>
      <c r="Y9">
        <v>38488</v>
      </c>
      <c r="Z9">
        <v>40991.4</v>
      </c>
      <c r="AA9">
        <v>39048.199999999997</v>
      </c>
      <c r="AD9">
        <v>19223</v>
      </c>
      <c r="AE9">
        <v>19822.900000000001</v>
      </c>
      <c r="AF9">
        <v>40265.1</v>
      </c>
      <c r="AG9">
        <v>46078.6</v>
      </c>
      <c r="AH9">
        <v>40624.800000000003</v>
      </c>
      <c r="AK9">
        <v>18428.7</v>
      </c>
      <c r="AL9">
        <v>18027.7</v>
      </c>
      <c r="AM9">
        <v>40793.300000000003</v>
      </c>
      <c r="AN9">
        <v>41651.300000000003</v>
      </c>
      <c r="AO9">
        <v>39653.4</v>
      </c>
    </row>
    <row r="10" spans="2:44">
      <c r="B10">
        <v>30341.4</v>
      </c>
      <c r="C10">
        <v>30554.7</v>
      </c>
      <c r="D10">
        <v>31224.399999999998</v>
      </c>
      <c r="E10">
        <v>31367.3</v>
      </c>
      <c r="F10">
        <v>30585.200000000001</v>
      </c>
      <c r="I10">
        <v>30262.6</v>
      </c>
      <c r="J10">
        <v>30931.899999999998</v>
      </c>
      <c r="K10">
        <v>32008.400000000001</v>
      </c>
      <c r="L10">
        <v>30951.399999999998</v>
      </c>
      <c r="M10">
        <v>31881.200000000001</v>
      </c>
      <c r="P10">
        <v>31117.599999999999</v>
      </c>
      <c r="Q10">
        <v>32720.9</v>
      </c>
      <c r="R10">
        <v>31710.7</v>
      </c>
      <c r="S10">
        <v>33200.699999999997</v>
      </c>
      <c r="T10">
        <v>31127.9</v>
      </c>
      <c r="W10">
        <v>19558.8</v>
      </c>
      <c r="X10">
        <v>18391.400000000001</v>
      </c>
      <c r="Y10">
        <v>39199.1</v>
      </c>
      <c r="Z10">
        <v>39372.800000000003</v>
      </c>
      <c r="AA10">
        <v>38534.800000000003</v>
      </c>
      <c r="AD10">
        <v>19965.900000000001</v>
      </c>
      <c r="AE10">
        <v>43876.5</v>
      </c>
      <c r="AF10">
        <v>43286.3</v>
      </c>
      <c r="AG10">
        <v>43460.1</v>
      </c>
      <c r="AH10">
        <v>42010.8</v>
      </c>
      <c r="AK10">
        <v>18387.400000000001</v>
      </c>
      <c r="AL10">
        <v>18667.2</v>
      </c>
      <c r="AM10">
        <v>36466.300000000003</v>
      </c>
      <c r="AN10">
        <v>39517</v>
      </c>
      <c r="AO10">
        <v>37572.6</v>
      </c>
    </row>
    <row r="11" spans="2:44" hidden="1">
      <c r="B11">
        <v>31512</v>
      </c>
      <c r="C11">
        <v>31297.200000000001</v>
      </c>
      <c r="D11">
        <v>30986.5</v>
      </c>
      <c r="E11">
        <v>31060</v>
      </c>
      <c r="F11">
        <v>31067.599999999999</v>
      </c>
      <c r="I11">
        <v>30631.4</v>
      </c>
      <c r="J11">
        <v>30855.599999999999</v>
      </c>
      <c r="K11">
        <v>31463.200000000001</v>
      </c>
      <c r="L11">
        <v>30798.300000000003</v>
      </c>
      <c r="M11">
        <v>32405.9</v>
      </c>
      <c r="P11">
        <v>31819.3</v>
      </c>
      <c r="Q11">
        <v>31107.1</v>
      </c>
      <c r="R11">
        <v>31843.9</v>
      </c>
      <c r="S11">
        <v>31227.3</v>
      </c>
      <c r="T11">
        <v>31191.5</v>
      </c>
      <c r="W11">
        <v>18935.7</v>
      </c>
      <c r="X11">
        <v>18434</v>
      </c>
      <c r="Y11">
        <v>38918.800000000003</v>
      </c>
      <c r="Z11">
        <v>40161.4</v>
      </c>
      <c r="AA11">
        <v>38774.1</v>
      </c>
      <c r="AD11">
        <v>21301</v>
      </c>
      <c r="AE11">
        <v>19786</v>
      </c>
      <c r="AF11">
        <v>43404.3</v>
      </c>
      <c r="AG11">
        <v>44237.7</v>
      </c>
      <c r="AH11">
        <v>48460.4</v>
      </c>
      <c r="AK11">
        <v>18329.2</v>
      </c>
      <c r="AL11">
        <v>18127</v>
      </c>
      <c r="AM11">
        <v>39476.199999999997</v>
      </c>
      <c r="AN11">
        <v>39216.9</v>
      </c>
      <c r="AO11">
        <v>39906.9</v>
      </c>
    </row>
    <row r="12" spans="2:44" hidden="1">
      <c r="B12">
        <v>30297</v>
      </c>
      <c r="C12">
        <v>30526.7</v>
      </c>
      <c r="D12">
        <v>30408.6</v>
      </c>
      <c r="E12">
        <v>31215.800000000003</v>
      </c>
      <c r="F12">
        <v>30295.599999999999</v>
      </c>
      <c r="I12">
        <v>44340.4</v>
      </c>
      <c r="J12">
        <v>32381.7</v>
      </c>
      <c r="K12">
        <v>31021.8</v>
      </c>
      <c r="L12">
        <v>30984.9</v>
      </c>
      <c r="M12">
        <v>30009.399999999998</v>
      </c>
      <c r="P12">
        <v>31503.3</v>
      </c>
      <c r="Q12">
        <v>32186.999999999996</v>
      </c>
      <c r="R12">
        <v>31634</v>
      </c>
      <c r="S12">
        <v>32611.100000000002</v>
      </c>
      <c r="T12">
        <v>31604.399999999998</v>
      </c>
      <c r="W12">
        <v>19807.900000000001</v>
      </c>
      <c r="X12">
        <v>19427.2</v>
      </c>
      <c r="Y12">
        <v>38951.9</v>
      </c>
      <c r="Z12">
        <v>39638.199999999997</v>
      </c>
      <c r="AA12">
        <v>38337</v>
      </c>
      <c r="AD12">
        <v>21444.6</v>
      </c>
      <c r="AE12">
        <v>20501.5</v>
      </c>
      <c r="AF12">
        <v>40463.300000000003</v>
      </c>
      <c r="AG12">
        <v>44489.2</v>
      </c>
      <c r="AH12">
        <v>46402.400000000001</v>
      </c>
      <c r="AK12">
        <v>17590</v>
      </c>
      <c r="AL12">
        <v>18230</v>
      </c>
      <c r="AM12">
        <v>38048.800000000003</v>
      </c>
      <c r="AN12">
        <v>39907.4</v>
      </c>
      <c r="AO12">
        <v>37602</v>
      </c>
    </row>
    <row r="13" spans="2:44" hidden="1">
      <c r="B13">
        <v>30315.9</v>
      </c>
      <c r="C13">
        <v>30384.1</v>
      </c>
      <c r="D13">
        <v>30390.7</v>
      </c>
      <c r="E13">
        <v>30398.7</v>
      </c>
      <c r="F13">
        <v>30327.200000000001</v>
      </c>
      <c r="I13">
        <v>31420.799999999999</v>
      </c>
      <c r="J13">
        <v>30704</v>
      </c>
      <c r="K13">
        <v>32607.799999999996</v>
      </c>
      <c r="L13">
        <v>32070.500000000004</v>
      </c>
      <c r="M13">
        <v>30032.3</v>
      </c>
      <c r="P13">
        <v>35844</v>
      </c>
      <c r="Q13">
        <v>54762</v>
      </c>
      <c r="R13">
        <v>36236.1</v>
      </c>
      <c r="S13">
        <v>52028.2</v>
      </c>
      <c r="T13">
        <v>34549</v>
      </c>
      <c r="W13">
        <v>18506.900000000001</v>
      </c>
      <c r="X13">
        <v>19755</v>
      </c>
      <c r="Y13">
        <v>37692.199999999997</v>
      </c>
      <c r="Z13">
        <v>39743.199999999997</v>
      </c>
      <c r="AA13">
        <v>38279.9</v>
      </c>
      <c r="AD13">
        <v>27129.9</v>
      </c>
      <c r="AE13">
        <v>20318</v>
      </c>
      <c r="AF13">
        <v>40305.599999999999</v>
      </c>
      <c r="AG13">
        <v>50630.2</v>
      </c>
      <c r="AH13">
        <v>44875.8</v>
      </c>
    </row>
    <row r="14" spans="2:44" hidden="1">
      <c r="B14">
        <v>30151.4</v>
      </c>
      <c r="C14">
        <v>30299.9</v>
      </c>
      <c r="D14">
        <v>30774.6</v>
      </c>
      <c r="E14">
        <v>30446</v>
      </c>
      <c r="F14">
        <v>30134.6</v>
      </c>
      <c r="I14">
        <v>29876.9</v>
      </c>
      <c r="J14">
        <v>30455</v>
      </c>
      <c r="K14">
        <v>31543.8</v>
      </c>
      <c r="L14">
        <v>30570.699999999997</v>
      </c>
      <c r="M14">
        <v>31833.8</v>
      </c>
      <c r="P14">
        <v>46364.800000000003</v>
      </c>
      <c r="Q14">
        <v>42352.800000000003</v>
      </c>
      <c r="R14">
        <v>35247.5</v>
      </c>
      <c r="S14">
        <v>34791</v>
      </c>
      <c r="T14">
        <v>43437.8</v>
      </c>
      <c r="W14">
        <v>19011.400000000001</v>
      </c>
      <c r="X14">
        <v>19283.7</v>
      </c>
      <c r="Y14">
        <v>38396.199999999997</v>
      </c>
      <c r="Z14">
        <v>39537.599999999999</v>
      </c>
      <c r="AA14">
        <v>38696.5</v>
      </c>
      <c r="AD14">
        <v>20641.5</v>
      </c>
      <c r="AE14">
        <v>20783.5</v>
      </c>
      <c r="AF14">
        <v>41439</v>
      </c>
      <c r="AG14">
        <v>43737.7</v>
      </c>
      <c r="AH14">
        <v>41051.4</v>
      </c>
    </row>
    <row r="15" spans="2:44" hidden="1">
      <c r="B15">
        <v>30733</v>
      </c>
      <c r="C15">
        <v>30461</v>
      </c>
      <c r="D15">
        <v>30526.800000000003</v>
      </c>
      <c r="E15">
        <v>30160.399999999998</v>
      </c>
      <c r="F15">
        <v>30386.399999999998</v>
      </c>
      <c r="I15">
        <v>32457.3</v>
      </c>
      <c r="J15">
        <v>30435.7</v>
      </c>
      <c r="K15">
        <v>31228.100000000002</v>
      </c>
      <c r="L15">
        <v>30063.9</v>
      </c>
      <c r="M15">
        <v>37064.799999999996</v>
      </c>
      <c r="P15">
        <v>32016.7</v>
      </c>
      <c r="Q15">
        <v>35492.199999999997</v>
      </c>
      <c r="R15">
        <v>34017.4</v>
      </c>
      <c r="S15">
        <v>34908.299999999996</v>
      </c>
      <c r="T15">
        <v>32328.000000000004</v>
      </c>
      <c r="W15">
        <v>19099</v>
      </c>
      <c r="X15">
        <v>19407.7</v>
      </c>
      <c r="Y15">
        <v>39037.599999999999</v>
      </c>
      <c r="Z15">
        <v>40443.4</v>
      </c>
      <c r="AA15">
        <v>38100.1</v>
      </c>
      <c r="AD15">
        <v>19836.099999999999</v>
      </c>
      <c r="AE15">
        <v>21099.1</v>
      </c>
      <c r="AF15">
        <v>41761.5</v>
      </c>
      <c r="AG15">
        <v>43537.8</v>
      </c>
      <c r="AH15">
        <v>41321.1</v>
      </c>
    </row>
    <row r="16" spans="2:44" hidden="1">
      <c r="B16">
        <v>30451.1</v>
      </c>
      <c r="C16">
        <v>30667.3</v>
      </c>
      <c r="D16">
        <v>30240</v>
      </c>
      <c r="E16">
        <v>31210.3</v>
      </c>
      <c r="F16">
        <v>30488.600000000002</v>
      </c>
      <c r="I16">
        <v>30227.9</v>
      </c>
      <c r="J16">
        <v>30507.8</v>
      </c>
      <c r="K16">
        <v>31205.300000000003</v>
      </c>
      <c r="L16">
        <v>32899.599999999999</v>
      </c>
      <c r="M16">
        <v>31797.3</v>
      </c>
      <c r="P16">
        <v>35066.1</v>
      </c>
      <c r="Q16">
        <v>33016.300000000003</v>
      </c>
      <c r="R16">
        <v>34506.700000000004</v>
      </c>
      <c r="S16">
        <v>33415.799999999996</v>
      </c>
      <c r="T16">
        <v>36919.199999999997</v>
      </c>
      <c r="W16">
        <v>19303.5</v>
      </c>
      <c r="X16">
        <v>20473.5</v>
      </c>
      <c r="Y16">
        <v>38367.800000000003</v>
      </c>
      <c r="Z16">
        <v>46148.3</v>
      </c>
      <c r="AA16">
        <v>40197.9</v>
      </c>
      <c r="AD16">
        <v>20894.900000000001</v>
      </c>
      <c r="AE16">
        <v>20632.8</v>
      </c>
      <c r="AF16">
        <v>40245.9</v>
      </c>
      <c r="AG16">
        <v>44215.6</v>
      </c>
      <c r="AH16">
        <v>41441.599999999999</v>
      </c>
    </row>
    <row r="17" spans="2:34" hidden="1">
      <c r="B17">
        <v>30311.599999999999</v>
      </c>
      <c r="C17">
        <v>30722.6</v>
      </c>
      <c r="D17">
        <v>30116.1</v>
      </c>
      <c r="E17">
        <v>30358</v>
      </c>
      <c r="F17">
        <v>30483.200000000001</v>
      </c>
      <c r="I17">
        <v>30519.5</v>
      </c>
      <c r="J17">
        <v>30894</v>
      </c>
      <c r="K17">
        <v>34699.599999999999</v>
      </c>
      <c r="L17">
        <v>30955.200000000001</v>
      </c>
      <c r="M17">
        <v>51603.299999999996</v>
      </c>
      <c r="P17">
        <v>34984.1</v>
      </c>
      <c r="Q17">
        <v>33917.800000000003</v>
      </c>
      <c r="R17">
        <v>33104.400000000001</v>
      </c>
      <c r="S17">
        <v>32944.699999999997</v>
      </c>
      <c r="T17">
        <v>33688.400000000001</v>
      </c>
      <c r="W17">
        <v>20556.3</v>
      </c>
      <c r="X17">
        <v>19124.2</v>
      </c>
      <c r="Y17">
        <v>38510</v>
      </c>
      <c r="Z17">
        <v>40145</v>
      </c>
      <c r="AA17">
        <v>40030.6</v>
      </c>
      <c r="AD17">
        <v>20109.900000000001</v>
      </c>
      <c r="AE17">
        <v>20643.3</v>
      </c>
      <c r="AF17">
        <v>41687.5</v>
      </c>
      <c r="AG17">
        <v>44256.5</v>
      </c>
      <c r="AH17">
        <v>42981.3</v>
      </c>
    </row>
    <row r="18" spans="2:34" hidden="1">
      <c r="B18">
        <v>30243.3</v>
      </c>
      <c r="C18">
        <v>30149.8</v>
      </c>
      <c r="D18">
        <v>30683.200000000001</v>
      </c>
      <c r="E18">
        <v>30099.5</v>
      </c>
      <c r="F18">
        <v>30255.8</v>
      </c>
      <c r="I18">
        <v>34667.4</v>
      </c>
      <c r="J18">
        <v>31911.599999999999</v>
      </c>
      <c r="K18">
        <v>31069.9</v>
      </c>
      <c r="L18">
        <v>30611.7</v>
      </c>
      <c r="M18">
        <v>32104.999999999996</v>
      </c>
      <c r="P18">
        <v>32266.9</v>
      </c>
      <c r="Q18">
        <v>34322.1</v>
      </c>
      <c r="R18">
        <v>36986.5</v>
      </c>
      <c r="S18">
        <v>32674.799999999999</v>
      </c>
      <c r="T18">
        <v>35617.300000000003</v>
      </c>
      <c r="W18">
        <v>19697.599999999999</v>
      </c>
      <c r="X18">
        <v>20793</v>
      </c>
      <c r="Y18">
        <v>38295.300000000003</v>
      </c>
      <c r="Z18">
        <v>40096.5</v>
      </c>
      <c r="AA18">
        <v>38617.9</v>
      </c>
      <c r="AD18">
        <v>19599.099999999999</v>
      </c>
      <c r="AE18">
        <v>20606.8</v>
      </c>
      <c r="AF18">
        <v>41964.9</v>
      </c>
      <c r="AG18">
        <v>45495.4</v>
      </c>
      <c r="AH18">
        <v>42500.7</v>
      </c>
    </row>
    <row r="19" spans="2:34" hidden="1">
      <c r="B19">
        <v>30633.4</v>
      </c>
      <c r="C19">
        <v>30595.8</v>
      </c>
      <c r="D19">
        <v>30718.9</v>
      </c>
      <c r="E19">
        <v>30523</v>
      </c>
      <c r="F19">
        <v>30108.5</v>
      </c>
      <c r="I19">
        <v>34520.5</v>
      </c>
      <c r="J19">
        <v>33831.599999999999</v>
      </c>
      <c r="K19">
        <v>31065.100000000002</v>
      </c>
      <c r="L19">
        <v>30128.399999999998</v>
      </c>
      <c r="M19">
        <v>31583.4</v>
      </c>
      <c r="P19">
        <v>33014.9</v>
      </c>
      <c r="Q19">
        <v>34242.800000000003</v>
      </c>
      <c r="R19">
        <v>35889.899999999994</v>
      </c>
      <c r="S19">
        <v>32803</v>
      </c>
      <c r="T19">
        <v>32407.5</v>
      </c>
      <c r="W19">
        <v>20994.1</v>
      </c>
      <c r="X19">
        <v>19134.599999999999</v>
      </c>
      <c r="Y19">
        <v>38026</v>
      </c>
      <c r="Z19">
        <v>40512.400000000001</v>
      </c>
      <c r="AA19">
        <v>39008.699999999997</v>
      </c>
      <c r="AD19">
        <v>20145</v>
      </c>
      <c r="AE19">
        <v>21635.8</v>
      </c>
      <c r="AF19">
        <v>44148.800000000003</v>
      </c>
      <c r="AG19">
        <v>43832.5</v>
      </c>
      <c r="AH19">
        <v>42068.1</v>
      </c>
    </row>
    <row r="20" spans="2:34" hidden="1">
      <c r="B20">
        <v>30623</v>
      </c>
      <c r="C20">
        <v>30936.6</v>
      </c>
      <c r="D20">
        <v>30629.8</v>
      </c>
      <c r="E20">
        <v>30253.3</v>
      </c>
      <c r="F20">
        <v>30291.699999999997</v>
      </c>
      <c r="I20">
        <v>31869.1</v>
      </c>
      <c r="J20">
        <v>31371.8</v>
      </c>
      <c r="K20">
        <v>31101.3</v>
      </c>
      <c r="L20">
        <v>31779.3</v>
      </c>
      <c r="M20">
        <v>30824.2</v>
      </c>
      <c r="P20">
        <v>32499.7</v>
      </c>
      <c r="Q20">
        <v>32635.399999999998</v>
      </c>
      <c r="R20">
        <v>33753.9</v>
      </c>
      <c r="S20">
        <v>37575.299999999996</v>
      </c>
      <c r="T20">
        <v>32048</v>
      </c>
      <c r="W20">
        <v>19858.400000000001</v>
      </c>
      <c r="X20">
        <v>18764.5</v>
      </c>
      <c r="Y20">
        <v>38177.699999999997</v>
      </c>
      <c r="Z20">
        <v>39214.400000000001</v>
      </c>
      <c r="AA20">
        <v>38296.199999999997</v>
      </c>
      <c r="AD20">
        <v>23203.5</v>
      </c>
      <c r="AE20">
        <v>20691.599999999999</v>
      </c>
      <c r="AF20">
        <v>43605.9</v>
      </c>
      <c r="AG20">
        <v>45102.3</v>
      </c>
      <c r="AH20">
        <v>46781.599999999999</v>
      </c>
    </row>
    <row r="21" spans="2:34" hidden="1">
      <c r="B21">
        <v>30288.3</v>
      </c>
      <c r="C21">
        <v>30514.399999999998</v>
      </c>
      <c r="D21">
        <v>31725</v>
      </c>
      <c r="E21">
        <v>30671.600000000002</v>
      </c>
      <c r="F21">
        <v>30432.400000000001</v>
      </c>
      <c r="I21">
        <v>33207.800000000003</v>
      </c>
      <c r="J21">
        <v>30496.1</v>
      </c>
      <c r="K21">
        <v>31230.899999999998</v>
      </c>
      <c r="L21">
        <v>31014.199999999997</v>
      </c>
      <c r="M21">
        <v>32381.7</v>
      </c>
      <c r="P21">
        <v>33348.9</v>
      </c>
      <c r="Q21">
        <v>46281</v>
      </c>
      <c r="R21">
        <v>39164.700000000004</v>
      </c>
      <c r="S21">
        <v>35000.100000000006</v>
      </c>
      <c r="T21">
        <v>32700.2</v>
      </c>
      <c r="W21">
        <v>18528.8</v>
      </c>
      <c r="X21">
        <v>19441</v>
      </c>
      <c r="Y21">
        <v>37579.599999999999</v>
      </c>
      <c r="Z21">
        <v>40113.4</v>
      </c>
      <c r="AA21">
        <v>38428.9</v>
      </c>
      <c r="AD21">
        <v>21415.4</v>
      </c>
      <c r="AE21">
        <v>20484.900000000001</v>
      </c>
      <c r="AF21">
        <v>42075.6</v>
      </c>
      <c r="AG21">
        <v>45918.8</v>
      </c>
      <c r="AH21">
        <v>43533.8</v>
      </c>
    </row>
    <row r="22" spans="2:34" hidden="1">
      <c r="B22">
        <v>30598.799999999999</v>
      </c>
      <c r="C22">
        <v>30158.899999999998</v>
      </c>
      <c r="D22">
        <v>30922.2</v>
      </c>
      <c r="E22">
        <v>31066.600000000002</v>
      </c>
      <c r="F22">
        <v>31211.7</v>
      </c>
      <c r="I22">
        <v>33513.199999999997</v>
      </c>
      <c r="J22">
        <v>32909.4</v>
      </c>
      <c r="K22">
        <v>31996</v>
      </c>
      <c r="L22">
        <v>36260.9</v>
      </c>
      <c r="M22">
        <v>42632</v>
      </c>
      <c r="P22">
        <v>35098.699999999997</v>
      </c>
      <c r="Q22">
        <v>35865.1</v>
      </c>
      <c r="R22">
        <v>37699.9</v>
      </c>
      <c r="S22">
        <v>37760.199999999997</v>
      </c>
      <c r="T22">
        <v>32906.1</v>
      </c>
      <c r="W22">
        <v>19175.7</v>
      </c>
      <c r="X22">
        <v>19414.900000000001</v>
      </c>
      <c r="Y22">
        <v>37500.199999999997</v>
      </c>
      <c r="Z22">
        <v>39297.800000000003</v>
      </c>
      <c r="AA22">
        <v>38463.599999999999</v>
      </c>
      <c r="AD22">
        <v>24712.400000000001</v>
      </c>
      <c r="AE22">
        <v>20368.2</v>
      </c>
      <c r="AF22">
        <v>42191.4</v>
      </c>
      <c r="AG22">
        <v>44351.5</v>
      </c>
      <c r="AH22">
        <v>41837</v>
      </c>
    </row>
    <row r="23" spans="2:34" hidden="1">
      <c r="B23">
        <v>31308.6</v>
      </c>
      <c r="C23">
        <v>30888.799999999999</v>
      </c>
      <c r="D23">
        <v>31395.9</v>
      </c>
      <c r="E23">
        <v>36343.4</v>
      </c>
      <c r="F23">
        <v>31081.5</v>
      </c>
      <c r="I23">
        <v>45098.2</v>
      </c>
      <c r="J23">
        <v>35461</v>
      </c>
      <c r="K23">
        <v>36136.699999999997</v>
      </c>
      <c r="L23">
        <v>34204.9</v>
      </c>
      <c r="M23">
        <v>33151.699999999997</v>
      </c>
      <c r="P23">
        <v>46422.2</v>
      </c>
      <c r="Q23">
        <v>33539.1</v>
      </c>
      <c r="R23">
        <v>33537.300000000003</v>
      </c>
      <c r="S23">
        <v>34357.199999999997</v>
      </c>
      <c r="T23">
        <v>33615</v>
      </c>
      <c r="W23">
        <v>20582.2</v>
      </c>
      <c r="X23">
        <v>19592.2</v>
      </c>
      <c r="Y23">
        <v>37928</v>
      </c>
      <c r="Z23">
        <v>39914.300000000003</v>
      </c>
      <c r="AA23">
        <v>39268.199999999997</v>
      </c>
      <c r="AD23">
        <v>20676</v>
      </c>
      <c r="AE23">
        <v>20870.400000000001</v>
      </c>
      <c r="AF23">
        <v>45207.4</v>
      </c>
      <c r="AG23">
        <v>96371.199999999997</v>
      </c>
      <c r="AH23">
        <v>67691.7</v>
      </c>
    </row>
    <row r="24" spans="2:34" hidden="1">
      <c r="B24">
        <v>31103.7</v>
      </c>
      <c r="C24">
        <v>30927.600000000002</v>
      </c>
      <c r="D24">
        <v>30766.799999999999</v>
      </c>
      <c r="E24">
        <v>31121.600000000002</v>
      </c>
      <c r="F24">
        <v>31665.8</v>
      </c>
      <c r="I24">
        <v>37903.9</v>
      </c>
      <c r="J24">
        <v>32845.799999999996</v>
      </c>
      <c r="K24">
        <v>37298.6</v>
      </c>
      <c r="L24">
        <v>36615.299999999996</v>
      </c>
      <c r="M24">
        <v>33450.800000000003</v>
      </c>
      <c r="P24">
        <v>34405.9</v>
      </c>
      <c r="Q24">
        <v>31972.100000000002</v>
      </c>
      <c r="R24">
        <v>32013.100000000002</v>
      </c>
      <c r="S24">
        <v>32343.200000000004</v>
      </c>
      <c r="T24">
        <v>31870</v>
      </c>
      <c r="W24">
        <v>20046.5</v>
      </c>
      <c r="X24">
        <v>19370.900000000001</v>
      </c>
      <c r="Y24">
        <v>38422.300000000003</v>
      </c>
      <c r="Z24">
        <v>40213.800000000003</v>
      </c>
      <c r="AA24">
        <v>39336.199999999997</v>
      </c>
      <c r="AD24">
        <v>21210.9</v>
      </c>
      <c r="AE24">
        <v>28299.9</v>
      </c>
      <c r="AF24">
        <v>42325.4</v>
      </c>
      <c r="AG24">
        <v>49832.1</v>
      </c>
      <c r="AH24">
        <v>43357.3</v>
      </c>
    </row>
    <row r="25" spans="2:34" hidden="1">
      <c r="B25">
        <v>31709.4</v>
      </c>
      <c r="C25">
        <v>31015.5</v>
      </c>
      <c r="D25">
        <v>31454.100000000002</v>
      </c>
      <c r="E25">
        <v>30639.199999999997</v>
      </c>
      <c r="F25">
        <v>30846.1</v>
      </c>
      <c r="I25">
        <v>33838.800000000003</v>
      </c>
      <c r="J25">
        <v>39858.9</v>
      </c>
      <c r="K25">
        <v>36297.1</v>
      </c>
      <c r="L25">
        <v>36522</v>
      </c>
      <c r="M25">
        <v>33710.799999999996</v>
      </c>
      <c r="P25">
        <v>53686.2</v>
      </c>
      <c r="Q25">
        <v>46328.299999999996</v>
      </c>
      <c r="R25">
        <v>39295.1</v>
      </c>
      <c r="S25">
        <v>37730.800000000003</v>
      </c>
      <c r="T25">
        <v>32962.6</v>
      </c>
      <c r="W25">
        <v>20043.599999999999</v>
      </c>
      <c r="X25">
        <v>20098.099999999999</v>
      </c>
      <c r="Y25">
        <v>38240.400000000001</v>
      </c>
      <c r="Z25">
        <v>40899.199999999997</v>
      </c>
      <c r="AA25">
        <v>38702</v>
      </c>
      <c r="AD25">
        <v>20570.900000000001</v>
      </c>
      <c r="AE25">
        <v>20862.7</v>
      </c>
      <c r="AF25">
        <v>45271</v>
      </c>
      <c r="AG25">
        <v>49128.6</v>
      </c>
      <c r="AH25">
        <v>46444.2</v>
      </c>
    </row>
    <row r="26" spans="2:34" hidden="1">
      <c r="B26">
        <v>30573.1</v>
      </c>
      <c r="C26">
        <v>30694.3</v>
      </c>
      <c r="D26">
        <v>31151.9</v>
      </c>
      <c r="E26">
        <v>30646.799999999999</v>
      </c>
      <c r="F26">
        <v>31443.3</v>
      </c>
      <c r="I26">
        <v>37219.599999999999</v>
      </c>
      <c r="J26">
        <v>36361.4</v>
      </c>
      <c r="K26">
        <v>43349.4</v>
      </c>
      <c r="L26">
        <v>46170.299999999996</v>
      </c>
      <c r="M26">
        <v>37815</v>
      </c>
      <c r="P26">
        <v>31650.9</v>
      </c>
      <c r="Q26">
        <v>32282.899999999998</v>
      </c>
      <c r="R26">
        <v>32404.699999999997</v>
      </c>
      <c r="S26">
        <v>33196.1</v>
      </c>
      <c r="T26">
        <v>33697.1</v>
      </c>
      <c r="W26">
        <v>20503.2</v>
      </c>
      <c r="X26">
        <v>19432</v>
      </c>
      <c r="Y26">
        <v>38065.699999999997</v>
      </c>
      <c r="Z26">
        <v>40201.9</v>
      </c>
      <c r="AA26">
        <v>38993.199999999997</v>
      </c>
      <c r="AD26">
        <v>21549</v>
      </c>
      <c r="AE26">
        <v>20682.400000000001</v>
      </c>
      <c r="AF26">
        <v>52885.4</v>
      </c>
      <c r="AG26">
        <v>43709.7</v>
      </c>
      <c r="AH26">
        <v>56042.5</v>
      </c>
    </row>
    <row r="27" spans="2:34" hidden="1">
      <c r="B27">
        <v>30902.400000000001</v>
      </c>
      <c r="C27">
        <v>31607</v>
      </c>
      <c r="D27">
        <v>31751</v>
      </c>
      <c r="E27">
        <v>32329.200000000001</v>
      </c>
      <c r="F27">
        <v>30802.800000000003</v>
      </c>
      <c r="I27">
        <v>35383.199999999997</v>
      </c>
      <c r="J27">
        <v>39185</v>
      </c>
      <c r="K27">
        <v>37161.5</v>
      </c>
      <c r="L27">
        <v>44827.1</v>
      </c>
      <c r="M27">
        <v>51099.3</v>
      </c>
      <c r="P27">
        <v>35302.300000000003</v>
      </c>
      <c r="Q27">
        <v>34964.799999999996</v>
      </c>
      <c r="R27">
        <v>33757.1</v>
      </c>
      <c r="S27">
        <v>33755.699999999997</v>
      </c>
      <c r="T27">
        <v>34462</v>
      </c>
      <c r="W27">
        <v>19615.599999999999</v>
      </c>
      <c r="X27">
        <v>18866.7</v>
      </c>
      <c r="Y27">
        <v>38134.9</v>
      </c>
      <c r="Z27">
        <v>39879</v>
      </c>
      <c r="AA27">
        <v>38639.1</v>
      </c>
      <c r="AD27">
        <v>20661.7</v>
      </c>
      <c r="AE27">
        <v>20008</v>
      </c>
      <c r="AF27">
        <v>43757</v>
      </c>
      <c r="AG27">
        <v>46902.1</v>
      </c>
      <c r="AH27">
        <v>43955.6</v>
      </c>
    </row>
    <row r="28" spans="2:34" hidden="1">
      <c r="B28">
        <v>31312.5</v>
      </c>
      <c r="C28">
        <v>31471</v>
      </c>
      <c r="D28">
        <v>31382.2</v>
      </c>
      <c r="E28">
        <v>32034.100000000002</v>
      </c>
      <c r="F28">
        <v>32062.600000000002</v>
      </c>
      <c r="I28">
        <v>42297.1</v>
      </c>
      <c r="J28">
        <v>38125.4</v>
      </c>
      <c r="K28">
        <v>46705.599999999999</v>
      </c>
      <c r="L28">
        <v>38720.9</v>
      </c>
      <c r="M28">
        <v>32978.400000000001</v>
      </c>
      <c r="P28">
        <v>33923.1</v>
      </c>
      <c r="Q28">
        <v>32948.199999999997</v>
      </c>
      <c r="R28">
        <v>33236</v>
      </c>
      <c r="S28">
        <v>32679.4</v>
      </c>
      <c r="T28">
        <v>35842.1</v>
      </c>
      <c r="W28">
        <v>20616.2</v>
      </c>
      <c r="X28">
        <v>18946.8</v>
      </c>
      <c r="Y28">
        <v>38394</v>
      </c>
      <c r="Z28">
        <v>40601.4</v>
      </c>
      <c r="AA28">
        <v>38843.699999999997</v>
      </c>
      <c r="AD28">
        <v>25307.9</v>
      </c>
      <c r="AE28">
        <v>22422.7</v>
      </c>
      <c r="AF28">
        <v>46354.400000000001</v>
      </c>
      <c r="AG28">
        <v>50058.8</v>
      </c>
      <c r="AH28">
        <v>46211.6</v>
      </c>
    </row>
    <row r="29" spans="2:34" hidden="1">
      <c r="B29">
        <v>32523.7</v>
      </c>
      <c r="C29">
        <v>31748.799999999999</v>
      </c>
      <c r="D29">
        <v>32327.7</v>
      </c>
      <c r="E29">
        <v>31195.599999999999</v>
      </c>
      <c r="F29">
        <v>30974.799999999999</v>
      </c>
      <c r="I29">
        <v>39906.699999999997</v>
      </c>
      <c r="J29">
        <v>31741</v>
      </c>
      <c r="K29">
        <v>34694.699999999997</v>
      </c>
      <c r="L29">
        <v>36808.6</v>
      </c>
      <c r="M29">
        <v>31850.100000000002</v>
      </c>
      <c r="P29">
        <v>34077.5</v>
      </c>
      <c r="Q29">
        <v>33178.5</v>
      </c>
      <c r="R29">
        <v>34763.5</v>
      </c>
      <c r="S29">
        <v>36319.4</v>
      </c>
      <c r="T29">
        <v>33245.699999999997</v>
      </c>
      <c r="W29">
        <v>19801.400000000001</v>
      </c>
      <c r="X29">
        <v>18909</v>
      </c>
      <c r="Y29">
        <v>39359</v>
      </c>
      <c r="Z29">
        <v>40171.9</v>
      </c>
      <c r="AA29">
        <v>38631</v>
      </c>
      <c r="AD29">
        <v>23079</v>
      </c>
      <c r="AE29">
        <v>22439.5</v>
      </c>
      <c r="AF29">
        <v>44321.9</v>
      </c>
      <c r="AG29">
        <v>49420.6</v>
      </c>
      <c r="AH29">
        <v>58932.6</v>
      </c>
    </row>
    <row r="30" spans="2:34" hidden="1">
      <c r="B30">
        <v>32944.699999999997</v>
      </c>
      <c r="C30">
        <v>31157.399999999998</v>
      </c>
      <c r="D30">
        <v>31744.399999999998</v>
      </c>
      <c r="E30">
        <v>31667</v>
      </c>
      <c r="F30">
        <v>32045</v>
      </c>
      <c r="I30">
        <v>32222.5</v>
      </c>
      <c r="J30">
        <v>35121.699999999997</v>
      </c>
      <c r="K30">
        <v>38258.6</v>
      </c>
      <c r="L30">
        <v>58103.6</v>
      </c>
      <c r="M30">
        <v>37330.6</v>
      </c>
      <c r="P30">
        <v>33244</v>
      </c>
      <c r="Q30">
        <v>33117.600000000006</v>
      </c>
      <c r="R30">
        <v>34045.200000000004</v>
      </c>
      <c r="S30">
        <v>36969.1</v>
      </c>
      <c r="T30">
        <v>35890.300000000003</v>
      </c>
      <c r="W30">
        <v>19274</v>
      </c>
      <c r="X30">
        <v>18408.900000000001</v>
      </c>
      <c r="Y30">
        <v>37564</v>
      </c>
      <c r="Z30">
        <v>39408.699999999997</v>
      </c>
      <c r="AA30">
        <v>37805.599999999999</v>
      </c>
      <c r="AD30">
        <v>24388.6</v>
      </c>
      <c r="AE30">
        <v>25809.7</v>
      </c>
      <c r="AF30">
        <v>45918.5</v>
      </c>
      <c r="AG30">
        <v>48577.4</v>
      </c>
      <c r="AH30">
        <v>45102.9</v>
      </c>
    </row>
    <row r="31" spans="2:34" hidden="1">
      <c r="B31">
        <v>31518.5</v>
      </c>
      <c r="C31">
        <v>31306.100000000002</v>
      </c>
      <c r="D31">
        <v>31234.100000000002</v>
      </c>
      <c r="E31">
        <v>30478.7</v>
      </c>
      <c r="F31">
        <v>30199.100000000002</v>
      </c>
      <c r="I31">
        <v>36773.699999999997</v>
      </c>
      <c r="J31">
        <v>33778.1</v>
      </c>
      <c r="K31">
        <v>33741.100000000006</v>
      </c>
      <c r="L31">
        <v>39645.1</v>
      </c>
      <c r="M31">
        <v>38987.699999999997</v>
      </c>
      <c r="P31">
        <v>33662.9</v>
      </c>
      <c r="Q31">
        <v>34280.700000000004</v>
      </c>
      <c r="R31">
        <v>32912.700000000004</v>
      </c>
      <c r="S31">
        <v>34950.699999999997</v>
      </c>
      <c r="T31">
        <v>33886.699999999997</v>
      </c>
      <c r="W31">
        <v>18670.7</v>
      </c>
      <c r="X31">
        <v>17889.8</v>
      </c>
      <c r="Y31">
        <v>38023.9</v>
      </c>
      <c r="Z31">
        <v>40178.6</v>
      </c>
      <c r="AA31">
        <v>37585.1</v>
      </c>
      <c r="AD31">
        <v>22580</v>
      </c>
      <c r="AE31">
        <v>22340.6</v>
      </c>
      <c r="AF31">
        <v>47804.3</v>
      </c>
      <c r="AG31">
        <v>47317.8</v>
      </c>
      <c r="AH31">
        <v>44500.800000000003</v>
      </c>
    </row>
    <row r="32" spans="2:34" hidden="1">
      <c r="B32">
        <v>30674.799999999999</v>
      </c>
      <c r="C32">
        <v>31150.5</v>
      </c>
      <c r="D32">
        <v>31218.6</v>
      </c>
      <c r="E32">
        <v>31122.399999999998</v>
      </c>
      <c r="F32">
        <v>31055.200000000001</v>
      </c>
      <c r="I32">
        <v>32666.5</v>
      </c>
      <c r="J32">
        <v>31308.7</v>
      </c>
      <c r="K32">
        <v>32322.000000000004</v>
      </c>
      <c r="L32">
        <v>33351.700000000004</v>
      </c>
      <c r="M32">
        <v>32465.200000000004</v>
      </c>
      <c r="P32">
        <v>34598.300000000003</v>
      </c>
      <c r="Q32">
        <v>34029.5</v>
      </c>
      <c r="R32">
        <v>33029.699999999997</v>
      </c>
      <c r="S32">
        <v>37063.599999999999</v>
      </c>
      <c r="T32">
        <v>34615.599999999999</v>
      </c>
      <c r="W32">
        <v>19048.7</v>
      </c>
      <c r="X32">
        <v>18443.3</v>
      </c>
      <c r="Y32">
        <v>37722.800000000003</v>
      </c>
      <c r="Z32">
        <v>40911.199999999997</v>
      </c>
      <c r="AA32">
        <v>38668</v>
      </c>
      <c r="AD32">
        <v>22400.799999999999</v>
      </c>
      <c r="AE32">
        <v>22937.9</v>
      </c>
      <c r="AF32">
        <v>49461.4</v>
      </c>
      <c r="AG32">
        <v>48677.8</v>
      </c>
      <c r="AH32">
        <v>44370.9</v>
      </c>
    </row>
    <row r="33" spans="2:34" hidden="1">
      <c r="B33">
        <v>30184.400000000001</v>
      </c>
      <c r="C33">
        <v>30509.8</v>
      </c>
      <c r="D33">
        <v>31054.7</v>
      </c>
      <c r="E33">
        <v>30655.7</v>
      </c>
      <c r="F33">
        <v>30477</v>
      </c>
      <c r="I33">
        <v>32870.300000000003</v>
      </c>
      <c r="J33">
        <v>32382.899999999998</v>
      </c>
      <c r="K33">
        <v>44402.6</v>
      </c>
      <c r="L33">
        <v>40571.300000000003</v>
      </c>
      <c r="M33">
        <v>34255.5</v>
      </c>
      <c r="P33">
        <v>32353.9</v>
      </c>
      <c r="Q33">
        <v>34060.200000000004</v>
      </c>
      <c r="R33">
        <v>33416.5</v>
      </c>
      <c r="S33">
        <v>31760.100000000002</v>
      </c>
      <c r="T33">
        <v>32733.5</v>
      </c>
      <c r="W33">
        <v>18856.3</v>
      </c>
      <c r="X33">
        <v>17740.5</v>
      </c>
      <c r="Y33">
        <v>37913.699999999997</v>
      </c>
      <c r="Z33">
        <v>39454.300000000003</v>
      </c>
      <c r="AA33">
        <v>37544.699999999997</v>
      </c>
      <c r="AD33">
        <v>20768.900000000001</v>
      </c>
      <c r="AE33">
        <v>28349.200000000001</v>
      </c>
      <c r="AF33">
        <v>54707</v>
      </c>
      <c r="AG33">
        <v>49550.6</v>
      </c>
      <c r="AH33">
        <v>44529.9</v>
      </c>
    </row>
    <row r="34" spans="2:34" hidden="1">
      <c r="B34">
        <v>30964.6</v>
      </c>
      <c r="C34">
        <v>30841.100000000002</v>
      </c>
      <c r="D34">
        <v>31401.399999999998</v>
      </c>
      <c r="E34">
        <v>30943.8</v>
      </c>
      <c r="F34">
        <v>31083.7</v>
      </c>
      <c r="I34">
        <v>33600.9</v>
      </c>
      <c r="J34">
        <v>39186.100000000006</v>
      </c>
      <c r="K34">
        <v>35622.300000000003</v>
      </c>
      <c r="L34">
        <v>35298.6</v>
      </c>
      <c r="M34">
        <v>35564.400000000001</v>
      </c>
      <c r="P34">
        <v>31845.200000000001</v>
      </c>
      <c r="Q34">
        <v>33330.199999999997</v>
      </c>
      <c r="R34">
        <v>33167</v>
      </c>
      <c r="S34">
        <v>34219.4</v>
      </c>
      <c r="T34">
        <v>33431.399999999994</v>
      </c>
      <c r="W34">
        <v>19209.599999999999</v>
      </c>
      <c r="X34">
        <v>17847.2</v>
      </c>
      <c r="Y34">
        <v>38016.1</v>
      </c>
      <c r="Z34">
        <v>39365.5</v>
      </c>
      <c r="AA34">
        <v>37925.699999999997</v>
      </c>
      <c r="AD34">
        <v>21761.7</v>
      </c>
      <c r="AE34">
        <v>22820.799999999999</v>
      </c>
      <c r="AF34">
        <v>47484</v>
      </c>
      <c r="AG34">
        <v>49391.4</v>
      </c>
      <c r="AH34">
        <v>47937</v>
      </c>
    </row>
    <row r="35" spans="2:34" hidden="1">
      <c r="B35">
        <v>30488</v>
      </c>
      <c r="C35">
        <v>30871.9</v>
      </c>
      <c r="D35">
        <v>30160.3</v>
      </c>
      <c r="E35">
        <v>30995.8</v>
      </c>
      <c r="F35">
        <v>30121.9</v>
      </c>
      <c r="I35">
        <v>33738.199999999997</v>
      </c>
      <c r="J35">
        <v>31919.1</v>
      </c>
      <c r="K35">
        <v>32491.200000000001</v>
      </c>
      <c r="L35">
        <v>31153.9</v>
      </c>
      <c r="M35">
        <v>32192.6</v>
      </c>
      <c r="P35">
        <v>32706.799999999999</v>
      </c>
      <c r="Q35">
        <v>32841.799999999996</v>
      </c>
      <c r="R35">
        <v>32020.600000000002</v>
      </c>
      <c r="S35">
        <v>32354.6</v>
      </c>
      <c r="T35">
        <v>31815.200000000001</v>
      </c>
      <c r="W35">
        <v>19350.599999999999</v>
      </c>
      <c r="X35">
        <v>18309.2</v>
      </c>
      <c r="Y35">
        <v>38445.9</v>
      </c>
      <c r="Z35">
        <v>39889.9</v>
      </c>
      <c r="AA35">
        <v>38007.9</v>
      </c>
      <c r="AD35">
        <v>24517.200000000001</v>
      </c>
      <c r="AE35">
        <v>25903.8</v>
      </c>
      <c r="AF35">
        <v>46202.7</v>
      </c>
      <c r="AG35">
        <v>75630</v>
      </c>
      <c r="AH35">
        <v>47281.1</v>
      </c>
    </row>
    <row r="36" spans="2:34" hidden="1">
      <c r="B36">
        <v>30622.6</v>
      </c>
      <c r="C36">
        <v>30379.5</v>
      </c>
      <c r="D36">
        <v>31129.4</v>
      </c>
      <c r="E36">
        <v>30141.100000000002</v>
      </c>
      <c r="F36">
        <v>30135.899999999998</v>
      </c>
      <c r="I36">
        <v>32191.9</v>
      </c>
      <c r="J36">
        <v>31253.1</v>
      </c>
      <c r="K36">
        <v>31377.1</v>
      </c>
      <c r="L36">
        <v>31549</v>
      </c>
      <c r="M36">
        <v>32542.299999999996</v>
      </c>
      <c r="P36">
        <v>33245.300000000003</v>
      </c>
      <c r="Q36">
        <v>32906.300000000003</v>
      </c>
      <c r="R36">
        <v>34345.9</v>
      </c>
      <c r="S36">
        <v>33405.9</v>
      </c>
      <c r="T36">
        <v>32233.199999999997</v>
      </c>
      <c r="W36">
        <v>18923.8</v>
      </c>
      <c r="X36">
        <v>17702.2</v>
      </c>
      <c r="Y36">
        <v>37654.6</v>
      </c>
      <c r="Z36">
        <v>39153.1</v>
      </c>
      <c r="AA36">
        <v>37932.9</v>
      </c>
      <c r="AD36">
        <v>24053.4</v>
      </c>
      <c r="AE36">
        <v>27826.2</v>
      </c>
      <c r="AF36">
        <v>48614.6</v>
      </c>
      <c r="AG36">
        <v>61681.3</v>
      </c>
      <c r="AH36">
        <v>50841.2</v>
      </c>
    </row>
    <row r="37" spans="2:34" hidden="1">
      <c r="B37">
        <v>30255.4</v>
      </c>
      <c r="C37">
        <v>30486.799999999999</v>
      </c>
      <c r="D37">
        <v>30452.2</v>
      </c>
      <c r="E37">
        <v>30110</v>
      </c>
      <c r="F37">
        <v>30536.899999999998</v>
      </c>
      <c r="I37">
        <v>33840.400000000001</v>
      </c>
      <c r="J37">
        <v>42994.5</v>
      </c>
      <c r="K37">
        <v>33675.5</v>
      </c>
      <c r="L37">
        <v>33043.100000000006</v>
      </c>
      <c r="M37">
        <v>31599.1</v>
      </c>
      <c r="P37">
        <v>33725</v>
      </c>
      <c r="Q37">
        <v>33852</v>
      </c>
      <c r="R37">
        <v>33537.5</v>
      </c>
      <c r="S37">
        <v>33110</v>
      </c>
      <c r="T37">
        <v>43948</v>
      </c>
      <c r="W37">
        <v>18738.3</v>
      </c>
      <c r="X37">
        <v>17678.099999999999</v>
      </c>
      <c r="Y37">
        <v>38814</v>
      </c>
      <c r="Z37">
        <v>39335.4</v>
      </c>
      <c r="AA37">
        <v>37615.1</v>
      </c>
      <c r="AD37">
        <v>22185.3</v>
      </c>
      <c r="AE37">
        <v>22184.1</v>
      </c>
      <c r="AF37">
        <v>45327.8</v>
      </c>
      <c r="AG37">
        <v>48825.8</v>
      </c>
      <c r="AH37">
        <v>55105.7</v>
      </c>
    </row>
    <row r="38" spans="2:34" hidden="1">
      <c r="B38">
        <v>30289.7</v>
      </c>
      <c r="C38">
        <v>30662.199999999997</v>
      </c>
      <c r="D38">
        <v>31110.9</v>
      </c>
      <c r="E38">
        <v>30704.3</v>
      </c>
      <c r="F38">
        <v>30186.399999999998</v>
      </c>
      <c r="I38">
        <v>34351.9</v>
      </c>
      <c r="J38">
        <v>32077.399999999998</v>
      </c>
      <c r="K38">
        <v>31336.400000000001</v>
      </c>
      <c r="L38">
        <v>30818.6</v>
      </c>
      <c r="M38">
        <v>31042.2</v>
      </c>
      <c r="P38">
        <v>33914.5</v>
      </c>
      <c r="Q38">
        <v>36129.1</v>
      </c>
      <c r="R38">
        <v>33669.9</v>
      </c>
      <c r="S38">
        <v>39996.1</v>
      </c>
      <c r="T38">
        <v>37122.700000000004</v>
      </c>
      <c r="W38">
        <v>18899.099999999999</v>
      </c>
      <c r="X38">
        <v>17830.7</v>
      </c>
      <c r="Y38">
        <v>37983.9</v>
      </c>
      <c r="Z38">
        <v>40506</v>
      </c>
      <c r="AA38">
        <v>37752.6</v>
      </c>
      <c r="AD38">
        <v>24868</v>
      </c>
      <c r="AE38">
        <v>25884.5</v>
      </c>
      <c r="AF38">
        <v>51239.9</v>
      </c>
      <c r="AG38">
        <v>52370.400000000001</v>
      </c>
      <c r="AH38">
        <v>48657.8</v>
      </c>
    </row>
    <row r="39" spans="2:34" hidden="1">
      <c r="B39">
        <v>30721.9</v>
      </c>
      <c r="C39">
        <v>30100.100000000002</v>
      </c>
      <c r="D39">
        <v>30566.799999999999</v>
      </c>
      <c r="E39">
        <v>30534.1</v>
      </c>
      <c r="F39">
        <v>31074.400000000001</v>
      </c>
      <c r="I39">
        <v>30385.8</v>
      </c>
      <c r="J39">
        <v>33684.9</v>
      </c>
      <c r="K39">
        <v>34895.4</v>
      </c>
      <c r="L39">
        <v>31615.5</v>
      </c>
      <c r="M39">
        <v>32981.200000000004</v>
      </c>
      <c r="P39">
        <v>34514.300000000003</v>
      </c>
      <c r="Q39">
        <v>42268.6</v>
      </c>
      <c r="R39">
        <v>41746.6</v>
      </c>
      <c r="S39">
        <v>37415.799999999996</v>
      </c>
      <c r="T39">
        <v>34096</v>
      </c>
      <c r="W39">
        <v>18694.7</v>
      </c>
      <c r="X39">
        <v>18310.400000000001</v>
      </c>
      <c r="Y39">
        <v>37974.199999999997</v>
      </c>
      <c r="Z39">
        <v>39528.9</v>
      </c>
      <c r="AA39">
        <v>44692.5</v>
      </c>
      <c r="AD39">
        <v>23741.599999999999</v>
      </c>
      <c r="AE39">
        <v>23374.1</v>
      </c>
      <c r="AF39">
        <v>48541.8</v>
      </c>
      <c r="AG39">
        <v>53977.2</v>
      </c>
      <c r="AH39">
        <v>48846.1</v>
      </c>
    </row>
    <row r="40" spans="2:34" hidden="1">
      <c r="B40">
        <v>30420.2</v>
      </c>
      <c r="C40">
        <v>30387</v>
      </c>
      <c r="D40">
        <v>30826.2</v>
      </c>
      <c r="E40">
        <v>30813</v>
      </c>
      <c r="F40">
        <v>30365.4</v>
      </c>
      <c r="I40">
        <v>31065.9</v>
      </c>
      <c r="J40">
        <v>31378.699999999997</v>
      </c>
      <c r="K40">
        <v>31982.7</v>
      </c>
      <c r="L40">
        <v>33022.799999999996</v>
      </c>
      <c r="M40">
        <v>31865.200000000001</v>
      </c>
      <c r="P40">
        <v>33287.599999999999</v>
      </c>
      <c r="Q40">
        <v>36555.799999999996</v>
      </c>
      <c r="R40">
        <v>32702.800000000003</v>
      </c>
      <c r="S40">
        <v>34222</v>
      </c>
      <c r="T40">
        <v>32276.3</v>
      </c>
      <c r="W40">
        <v>21653.1</v>
      </c>
      <c r="X40">
        <v>19199.599999999999</v>
      </c>
      <c r="Y40">
        <v>38580</v>
      </c>
      <c r="Z40">
        <v>39932.300000000003</v>
      </c>
      <c r="AA40">
        <v>38366.9</v>
      </c>
      <c r="AD40">
        <v>24617.599999999999</v>
      </c>
      <c r="AE40">
        <v>29550.2</v>
      </c>
      <c r="AF40">
        <v>48628.800000000003</v>
      </c>
      <c r="AG40">
        <v>54611.3</v>
      </c>
      <c r="AH40">
        <v>49424.3</v>
      </c>
    </row>
    <row r="41" spans="2:34" hidden="1">
      <c r="B41">
        <v>30327</v>
      </c>
      <c r="C41">
        <v>30565.4</v>
      </c>
      <c r="D41">
        <v>30805.200000000001</v>
      </c>
      <c r="E41">
        <v>30178.400000000001</v>
      </c>
      <c r="F41">
        <v>30326.3</v>
      </c>
      <c r="I41">
        <v>32961.300000000003</v>
      </c>
      <c r="J41">
        <v>33479.700000000004</v>
      </c>
      <c r="K41">
        <v>33786.800000000003</v>
      </c>
      <c r="L41">
        <v>35039.700000000004</v>
      </c>
      <c r="M41">
        <v>39267.299999999996</v>
      </c>
      <c r="P41">
        <v>33229.1</v>
      </c>
      <c r="Q41">
        <v>33810.1</v>
      </c>
      <c r="R41">
        <v>35629.9</v>
      </c>
      <c r="S41">
        <v>43549.799999999996</v>
      </c>
      <c r="T41">
        <v>33882.5</v>
      </c>
      <c r="W41">
        <v>20103.5</v>
      </c>
      <c r="X41">
        <v>18625.5</v>
      </c>
      <c r="Y41">
        <v>38526.300000000003</v>
      </c>
      <c r="Z41">
        <v>40451.699999999997</v>
      </c>
      <c r="AA41">
        <v>38212.199999999997</v>
      </c>
      <c r="AD41">
        <v>21984.3</v>
      </c>
      <c r="AE41">
        <v>23153.8</v>
      </c>
      <c r="AF41">
        <v>45642.7</v>
      </c>
      <c r="AG41">
        <v>52934.9</v>
      </c>
      <c r="AH41">
        <v>46944.2</v>
      </c>
    </row>
    <row r="42" spans="2:34" hidden="1">
      <c r="B42">
        <v>30469.5</v>
      </c>
      <c r="C42">
        <v>30500.2</v>
      </c>
      <c r="D42">
        <v>30715.800000000003</v>
      </c>
      <c r="E42">
        <v>30512.699999999997</v>
      </c>
      <c r="F42">
        <v>30199.4</v>
      </c>
      <c r="I42">
        <v>39377.1</v>
      </c>
      <c r="J42">
        <v>33831.899999999994</v>
      </c>
      <c r="K42">
        <v>32036.799999999999</v>
      </c>
      <c r="L42">
        <v>63636.899999999994</v>
      </c>
      <c r="M42">
        <v>35730</v>
      </c>
      <c r="P42">
        <v>33054.6</v>
      </c>
      <c r="Q42">
        <v>33743.1</v>
      </c>
      <c r="R42">
        <v>35288.5</v>
      </c>
      <c r="S42">
        <v>37275.199999999997</v>
      </c>
      <c r="T42">
        <v>34556.1</v>
      </c>
      <c r="W42">
        <v>19526.8</v>
      </c>
      <c r="X42">
        <v>18383.8</v>
      </c>
      <c r="Y42">
        <v>38391.300000000003</v>
      </c>
      <c r="Z42">
        <v>39823.199999999997</v>
      </c>
      <c r="AA42">
        <v>37703.800000000003</v>
      </c>
      <c r="AD42">
        <v>24727.200000000001</v>
      </c>
      <c r="AE42">
        <v>27274</v>
      </c>
      <c r="AF42">
        <v>47130.3</v>
      </c>
      <c r="AG42">
        <v>48246.2</v>
      </c>
      <c r="AH42">
        <v>65783.3</v>
      </c>
    </row>
    <row r="43" spans="2:34" hidden="1">
      <c r="B43">
        <v>30349.5</v>
      </c>
      <c r="C43">
        <v>30346.699999999997</v>
      </c>
      <c r="D43">
        <v>30889.5</v>
      </c>
      <c r="E43">
        <v>30093.699999999997</v>
      </c>
      <c r="F43">
        <v>30386.3</v>
      </c>
      <c r="I43">
        <v>31915.1</v>
      </c>
      <c r="J43">
        <v>33058.9</v>
      </c>
      <c r="K43">
        <v>36560.400000000001</v>
      </c>
      <c r="L43">
        <v>31853</v>
      </c>
      <c r="M43">
        <v>31941.4</v>
      </c>
      <c r="P43">
        <v>33025.800000000003</v>
      </c>
      <c r="Q43">
        <v>33883.599999999999</v>
      </c>
      <c r="R43">
        <v>36804.9</v>
      </c>
      <c r="S43">
        <v>35388.800000000003</v>
      </c>
      <c r="T43">
        <v>36194.800000000003</v>
      </c>
      <c r="W43">
        <v>19437</v>
      </c>
      <c r="X43">
        <v>19205.7</v>
      </c>
      <c r="Y43">
        <v>38098.5</v>
      </c>
      <c r="Z43">
        <v>39184.300000000003</v>
      </c>
      <c r="AA43">
        <v>37915</v>
      </c>
      <c r="AD43">
        <v>23143.200000000001</v>
      </c>
      <c r="AE43">
        <v>27203.5</v>
      </c>
      <c r="AF43">
        <v>51306.1</v>
      </c>
      <c r="AG43">
        <v>62084.7</v>
      </c>
      <c r="AH43">
        <v>73567.399999999994</v>
      </c>
    </row>
    <row r="44" spans="2:34" hidden="1">
      <c r="B44">
        <v>30371.5</v>
      </c>
      <c r="C44">
        <v>30534.199999999997</v>
      </c>
      <c r="D44">
        <v>30449.899999999998</v>
      </c>
      <c r="E44">
        <v>30380.9</v>
      </c>
      <c r="F44">
        <v>31038.1</v>
      </c>
      <c r="I44">
        <v>33961.199999999997</v>
      </c>
      <c r="J44">
        <v>31283.5</v>
      </c>
      <c r="K44">
        <v>32916.600000000006</v>
      </c>
      <c r="L44">
        <v>32015.1</v>
      </c>
      <c r="M44">
        <v>43999.6</v>
      </c>
      <c r="P44">
        <v>38549.5</v>
      </c>
      <c r="Q44">
        <v>32306.3</v>
      </c>
      <c r="R44">
        <v>32723</v>
      </c>
      <c r="S44">
        <v>70423.7</v>
      </c>
      <c r="T44">
        <v>38339.699999999997</v>
      </c>
      <c r="W44">
        <v>19923.7</v>
      </c>
      <c r="X44">
        <v>18518.5</v>
      </c>
      <c r="Y44">
        <v>38515.4</v>
      </c>
      <c r="Z44">
        <v>40226.800000000003</v>
      </c>
      <c r="AA44">
        <v>38960.5</v>
      </c>
      <c r="AD44">
        <v>78748.899999999994</v>
      </c>
      <c r="AE44">
        <v>43070</v>
      </c>
      <c r="AF44">
        <v>51630.6</v>
      </c>
      <c r="AG44">
        <v>51098.9</v>
      </c>
      <c r="AH44">
        <v>48258.5</v>
      </c>
    </row>
    <row r="45" spans="2:34" hidden="1">
      <c r="B45">
        <v>30683</v>
      </c>
      <c r="C45">
        <v>30010.7</v>
      </c>
      <c r="D45">
        <v>30336.7</v>
      </c>
      <c r="E45">
        <v>30499.5</v>
      </c>
      <c r="F45">
        <v>30551.5</v>
      </c>
      <c r="I45">
        <v>35675.699999999997</v>
      </c>
      <c r="J45">
        <v>35286.6</v>
      </c>
      <c r="K45">
        <v>33574</v>
      </c>
      <c r="L45">
        <v>33652.5</v>
      </c>
      <c r="M45">
        <v>31464.600000000002</v>
      </c>
      <c r="P45">
        <v>57053.8</v>
      </c>
      <c r="Q45">
        <v>34966.199999999997</v>
      </c>
      <c r="R45">
        <v>40135.599999999999</v>
      </c>
      <c r="S45">
        <v>32583.7</v>
      </c>
      <c r="T45">
        <v>41436.6</v>
      </c>
      <c r="W45">
        <v>19860.400000000001</v>
      </c>
      <c r="X45">
        <v>18004.2</v>
      </c>
      <c r="Y45">
        <v>38932.6</v>
      </c>
      <c r="Z45">
        <v>39575</v>
      </c>
      <c r="AA45">
        <v>38343.4</v>
      </c>
      <c r="AD45">
        <v>22485.9</v>
      </c>
      <c r="AE45">
        <v>23282.5</v>
      </c>
      <c r="AF45">
        <v>46361.599999999999</v>
      </c>
      <c r="AG45">
        <v>47034</v>
      </c>
      <c r="AH45">
        <v>47018.2</v>
      </c>
    </row>
    <row r="46" spans="2:34" hidden="1">
      <c r="B46">
        <v>30410.5</v>
      </c>
      <c r="C46">
        <v>30470.1</v>
      </c>
      <c r="D46">
        <v>30696.899999999998</v>
      </c>
      <c r="E46">
        <v>30685.9</v>
      </c>
      <c r="F46">
        <v>33470.400000000001</v>
      </c>
      <c r="I46">
        <v>32042.3</v>
      </c>
      <c r="J46">
        <v>33232.700000000004</v>
      </c>
      <c r="K46">
        <v>34724.699999999997</v>
      </c>
      <c r="L46">
        <v>31951.599999999999</v>
      </c>
      <c r="M46">
        <v>36792.5</v>
      </c>
      <c r="P46">
        <v>33946.1</v>
      </c>
      <c r="Q46">
        <v>41860.6</v>
      </c>
      <c r="R46">
        <v>40794.199999999997</v>
      </c>
      <c r="S46">
        <v>33390.5</v>
      </c>
      <c r="T46">
        <v>33175.699999999997</v>
      </c>
      <c r="W46">
        <v>19050.400000000001</v>
      </c>
      <c r="X46">
        <v>19431</v>
      </c>
      <c r="Y46">
        <v>38307.599999999999</v>
      </c>
      <c r="Z46">
        <v>40170.5</v>
      </c>
      <c r="AA46">
        <v>39312.6</v>
      </c>
      <c r="AD46">
        <v>30177.4</v>
      </c>
      <c r="AE46">
        <v>23964.1</v>
      </c>
      <c r="AF46">
        <v>59361.1</v>
      </c>
      <c r="AG46">
        <v>61430</v>
      </c>
      <c r="AH46">
        <v>53796.1</v>
      </c>
    </row>
    <row r="47" spans="2:34" hidden="1">
      <c r="B47">
        <v>34696.300000000003</v>
      </c>
      <c r="C47">
        <v>31628.399999999998</v>
      </c>
      <c r="D47">
        <v>30844.799999999999</v>
      </c>
      <c r="E47">
        <v>30508.799999999999</v>
      </c>
      <c r="F47">
        <v>31385.8</v>
      </c>
      <c r="I47">
        <v>31608.9</v>
      </c>
      <c r="J47">
        <v>32266.100000000002</v>
      </c>
      <c r="K47">
        <v>32617.899999999998</v>
      </c>
      <c r="L47">
        <v>31722.6</v>
      </c>
      <c r="M47">
        <v>31577.599999999999</v>
      </c>
      <c r="P47">
        <v>31755.3</v>
      </c>
      <c r="Q47">
        <v>32376.100000000002</v>
      </c>
      <c r="R47">
        <v>33886.200000000004</v>
      </c>
      <c r="S47">
        <v>32288.5</v>
      </c>
      <c r="T47">
        <v>32389.699999999997</v>
      </c>
      <c r="W47">
        <v>20392.900000000001</v>
      </c>
      <c r="X47">
        <v>18347.2</v>
      </c>
      <c r="Y47">
        <v>38969.5</v>
      </c>
      <c r="Z47">
        <v>40888.199999999997</v>
      </c>
      <c r="AA47">
        <v>38579.599999999999</v>
      </c>
      <c r="AD47">
        <v>20205.5</v>
      </c>
      <c r="AE47">
        <v>24732.5</v>
      </c>
      <c r="AF47">
        <v>58163.5</v>
      </c>
      <c r="AG47">
        <v>52831.1</v>
      </c>
      <c r="AH47">
        <v>56907.4</v>
      </c>
    </row>
    <row r="48" spans="2:34" hidden="1">
      <c r="B48">
        <v>30892</v>
      </c>
      <c r="C48">
        <v>30560.5</v>
      </c>
      <c r="D48">
        <v>31076.1</v>
      </c>
      <c r="E48">
        <v>31630.1</v>
      </c>
      <c r="F48">
        <v>31536.2</v>
      </c>
      <c r="I48">
        <v>31113.599999999999</v>
      </c>
      <c r="J48">
        <v>32368.2</v>
      </c>
      <c r="K48">
        <v>32829.9</v>
      </c>
      <c r="L48">
        <v>32408.9</v>
      </c>
      <c r="M48">
        <v>31258.400000000001</v>
      </c>
      <c r="P48">
        <v>32087.5</v>
      </c>
      <c r="Q48">
        <v>36855.9</v>
      </c>
      <c r="R48">
        <v>34595.100000000006</v>
      </c>
      <c r="S48">
        <v>37001.5</v>
      </c>
      <c r="T48">
        <v>42388.399999999994</v>
      </c>
      <c r="W48">
        <v>19868</v>
      </c>
      <c r="X48">
        <v>19157.400000000001</v>
      </c>
      <c r="Y48">
        <v>39296.800000000003</v>
      </c>
      <c r="Z48">
        <v>40674.400000000001</v>
      </c>
      <c r="AA48">
        <v>38947.699999999997</v>
      </c>
      <c r="AD48">
        <v>24760.1</v>
      </c>
      <c r="AE48">
        <v>25025.5</v>
      </c>
      <c r="AF48">
        <v>50871.8</v>
      </c>
      <c r="AG48">
        <v>50557.7</v>
      </c>
      <c r="AH48">
        <v>53308.3</v>
      </c>
    </row>
    <row r="49" spans="2:34" hidden="1">
      <c r="B49">
        <v>30575.7</v>
      </c>
      <c r="C49">
        <v>31392</v>
      </c>
      <c r="D49">
        <v>31512</v>
      </c>
      <c r="E49">
        <v>31175.5</v>
      </c>
      <c r="F49">
        <v>30872.9</v>
      </c>
      <c r="I49">
        <v>31804.799999999999</v>
      </c>
      <c r="J49">
        <v>31806.3</v>
      </c>
      <c r="K49">
        <v>31909.199999999997</v>
      </c>
      <c r="L49">
        <v>31549.5</v>
      </c>
      <c r="M49">
        <v>35606.699999999997</v>
      </c>
      <c r="P49">
        <v>32858.800000000003</v>
      </c>
      <c r="Q49">
        <v>56452</v>
      </c>
      <c r="R49">
        <v>41598.799999999996</v>
      </c>
      <c r="S49">
        <v>33049.799999999996</v>
      </c>
      <c r="T49">
        <v>32277.1</v>
      </c>
      <c r="W49">
        <v>19433.2</v>
      </c>
      <c r="X49">
        <v>20516.599999999999</v>
      </c>
      <c r="Y49">
        <v>38049.5</v>
      </c>
      <c r="Z49">
        <v>40042.400000000001</v>
      </c>
      <c r="AA49">
        <v>38671.1</v>
      </c>
      <c r="AD49">
        <v>24814.1</v>
      </c>
      <c r="AE49">
        <v>23875.8</v>
      </c>
      <c r="AF49">
        <v>50807.5</v>
      </c>
      <c r="AG49">
        <v>52581.8</v>
      </c>
      <c r="AH49">
        <v>53194.1</v>
      </c>
    </row>
    <row r="50" spans="2:34" hidden="1">
      <c r="B50">
        <v>30238.2</v>
      </c>
      <c r="C50">
        <v>31186.3</v>
      </c>
      <c r="D50">
        <v>31635.5</v>
      </c>
      <c r="E50">
        <v>30900.1</v>
      </c>
      <c r="F50">
        <v>31001.3</v>
      </c>
      <c r="I50">
        <v>52945.5</v>
      </c>
      <c r="J50">
        <v>34300.5</v>
      </c>
      <c r="K50">
        <v>33827</v>
      </c>
      <c r="L50">
        <v>31889.5</v>
      </c>
      <c r="M50">
        <v>51395.4</v>
      </c>
      <c r="P50">
        <v>34081.9</v>
      </c>
      <c r="Q50">
        <v>44327.8</v>
      </c>
      <c r="R50">
        <v>32508.799999999999</v>
      </c>
      <c r="S50">
        <v>35016.9</v>
      </c>
      <c r="T50">
        <v>55710.700000000004</v>
      </c>
      <c r="W50">
        <v>20189.3</v>
      </c>
      <c r="X50">
        <v>19567.599999999999</v>
      </c>
      <c r="Y50">
        <v>37868.1</v>
      </c>
      <c r="Z50">
        <v>40537.800000000003</v>
      </c>
      <c r="AA50">
        <v>38023.599999999999</v>
      </c>
      <c r="AD50">
        <v>25250.799999999999</v>
      </c>
      <c r="AE50">
        <v>25033.5</v>
      </c>
      <c r="AF50">
        <v>49894.7</v>
      </c>
      <c r="AG50">
        <v>52827.4</v>
      </c>
      <c r="AH50">
        <v>47399.1</v>
      </c>
    </row>
    <row r="51" spans="2:34" hidden="1">
      <c r="B51">
        <v>30561</v>
      </c>
      <c r="C51">
        <v>30604.399999999998</v>
      </c>
      <c r="D51">
        <v>31538.3</v>
      </c>
      <c r="E51">
        <v>32073.399999999998</v>
      </c>
      <c r="F51">
        <v>30611.8</v>
      </c>
      <c r="I51">
        <v>36797.1</v>
      </c>
      <c r="J51">
        <v>32386.400000000001</v>
      </c>
      <c r="K51">
        <v>47502.7</v>
      </c>
      <c r="L51">
        <v>39514.299999999996</v>
      </c>
      <c r="M51">
        <v>37199.9</v>
      </c>
      <c r="P51">
        <v>35987.699999999997</v>
      </c>
      <c r="Q51">
        <v>34771.1</v>
      </c>
      <c r="R51">
        <v>38841.9</v>
      </c>
      <c r="S51">
        <v>33900.9</v>
      </c>
      <c r="T51">
        <v>32824.699999999997</v>
      </c>
      <c r="W51">
        <v>19024.7</v>
      </c>
      <c r="X51">
        <v>18290.400000000001</v>
      </c>
      <c r="Y51">
        <v>37557.800000000003</v>
      </c>
      <c r="Z51">
        <v>39584.400000000001</v>
      </c>
      <c r="AA51">
        <v>37641.5</v>
      </c>
      <c r="AD51">
        <v>25222</v>
      </c>
      <c r="AE51">
        <v>23923.1</v>
      </c>
      <c r="AF51">
        <v>50796.6</v>
      </c>
      <c r="AG51">
        <v>52191.199999999997</v>
      </c>
      <c r="AH51">
        <v>50566.9</v>
      </c>
    </row>
    <row r="52" spans="2:34" hidden="1">
      <c r="B52">
        <v>32228.3</v>
      </c>
      <c r="C52">
        <v>32419.5</v>
      </c>
      <c r="D52">
        <v>31043</v>
      </c>
      <c r="E52">
        <v>31794.5</v>
      </c>
      <c r="F52">
        <v>31925</v>
      </c>
      <c r="I52">
        <v>35124.199999999997</v>
      </c>
      <c r="J52">
        <v>31621.9</v>
      </c>
      <c r="K52">
        <v>32920.1</v>
      </c>
      <c r="L52">
        <v>31577</v>
      </c>
      <c r="M52">
        <v>32103.9</v>
      </c>
      <c r="P52">
        <v>36166.6</v>
      </c>
      <c r="Q52">
        <v>32630.899999999998</v>
      </c>
      <c r="R52">
        <v>32738.2</v>
      </c>
      <c r="S52">
        <v>37125.599999999999</v>
      </c>
      <c r="T52">
        <v>41183.199999999997</v>
      </c>
      <c r="W52">
        <v>19499.400000000001</v>
      </c>
      <c r="X52">
        <v>18516</v>
      </c>
      <c r="Y52">
        <v>37719</v>
      </c>
      <c r="Z52">
        <v>39002</v>
      </c>
      <c r="AA52">
        <v>38019.199999999997</v>
      </c>
      <c r="AD52">
        <v>25134.6</v>
      </c>
      <c r="AE52">
        <v>24273.9</v>
      </c>
      <c r="AF52">
        <v>47548</v>
      </c>
      <c r="AG52">
        <v>54727.199999999997</v>
      </c>
      <c r="AH52">
        <v>50977</v>
      </c>
    </row>
    <row r="53" spans="2:34" hidden="1">
      <c r="B53">
        <v>30588.7</v>
      </c>
      <c r="C53">
        <v>31490.300000000003</v>
      </c>
      <c r="D53">
        <v>30982.3</v>
      </c>
      <c r="E53">
        <v>32137.099999999995</v>
      </c>
      <c r="F53">
        <v>30975.599999999999</v>
      </c>
      <c r="I53">
        <v>31929</v>
      </c>
      <c r="J53">
        <v>32555.8</v>
      </c>
      <c r="K53">
        <v>33498.300000000003</v>
      </c>
      <c r="L53">
        <v>31565.3</v>
      </c>
      <c r="M53">
        <v>33547.300000000003</v>
      </c>
      <c r="P53">
        <v>37077.1</v>
      </c>
      <c r="Q53">
        <v>38880.899999999994</v>
      </c>
      <c r="R53">
        <v>37068.9</v>
      </c>
      <c r="S53">
        <v>32983.5</v>
      </c>
      <c r="T53">
        <v>35075.599999999999</v>
      </c>
      <c r="W53">
        <v>19281.5</v>
      </c>
      <c r="X53">
        <v>18811.3</v>
      </c>
      <c r="Y53">
        <v>37504.1</v>
      </c>
      <c r="Z53">
        <v>39410.6</v>
      </c>
      <c r="AA53">
        <v>37725.4</v>
      </c>
      <c r="AD53">
        <v>22607.8</v>
      </c>
      <c r="AE53">
        <v>24974.400000000001</v>
      </c>
      <c r="AF53">
        <v>63659.7</v>
      </c>
      <c r="AG53">
        <v>45292.7</v>
      </c>
      <c r="AH53">
        <v>38401.599999999999</v>
      </c>
    </row>
    <row r="54" spans="2:34" hidden="1">
      <c r="B54">
        <v>31426.9</v>
      </c>
      <c r="C54">
        <v>31873.899999999998</v>
      </c>
      <c r="D54">
        <v>31242.799999999999</v>
      </c>
      <c r="E54">
        <v>31372.5</v>
      </c>
      <c r="F54">
        <v>31359.3</v>
      </c>
      <c r="I54">
        <v>32815.300000000003</v>
      </c>
      <c r="J54">
        <v>32961</v>
      </c>
      <c r="K54">
        <v>33370.399999999994</v>
      </c>
      <c r="L54">
        <v>33286.299999999996</v>
      </c>
      <c r="M54">
        <v>31592</v>
      </c>
      <c r="P54">
        <v>32837.699999999997</v>
      </c>
      <c r="Q54">
        <v>34719.4</v>
      </c>
      <c r="R54">
        <v>35181.9</v>
      </c>
      <c r="S54">
        <v>45256.9</v>
      </c>
      <c r="T54">
        <v>47603.6</v>
      </c>
      <c r="W54">
        <v>19128.400000000001</v>
      </c>
      <c r="X54">
        <v>18167.5</v>
      </c>
      <c r="Y54">
        <v>37811.599999999999</v>
      </c>
      <c r="Z54">
        <v>39391.199999999997</v>
      </c>
      <c r="AA54">
        <v>37894</v>
      </c>
      <c r="AD54">
        <v>19898.8</v>
      </c>
      <c r="AE54">
        <v>18855.599999999999</v>
      </c>
      <c r="AF54">
        <v>38539.599999999999</v>
      </c>
      <c r="AG54">
        <v>39837.699999999997</v>
      </c>
      <c r="AH54">
        <v>37479.9</v>
      </c>
    </row>
    <row r="55" spans="2:34" hidden="1">
      <c r="B55">
        <v>30669.599999999999</v>
      </c>
      <c r="C55">
        <v>30414.7</v>
      </c>
      <c r="D55">
        <v>30709.200000000001</v>
      </c>
      <c r="E55">
        <v>30112.7</v>
      </c>
      <c r="F55">
        <v>31696.7</v>
      </c>
      <c r="I55">
        <v>32651.200000000001</v>
      </c>
      <c r="J55">
        <v>33033.5</v>
      </c>
      <c r="K55">
        <v>33036.6</v>
      </c>
      <c r="L55">
        <v>33000.5</v>
      </c>
      <c r="M55">
        <v>51385.3</v>
      </c>
      <c r="P55">
        <v>38488.5</v>
      </c>
      <c r="Q55">
        <v>37032.200000000004</v>
      </c>
      <c r="R55">
        <v>31738</v>
      </c>
      <c r="S55">
        <v>35710.400000000001</v>
      </c>
      <c r="T55">
        <v>33920.699999999997</v>
      </c>
      <c r="W55">
        <v>19120.7</v>
      </c>
      <c r="X55">
        <v>18637.099999999999</v>
      </c>
      <c r="Y55">
        <v>37463.9</v>
      </c>
      <c r="Z55">
        <v>39458.1</v>
      </c>
      <c r="AA55">
        <v>37904.400000000001</v>
      </c>
      <c r="AD55">
        <v>18277.099999999999</v>
      </c>
      <c r="AE55">
        <v>18596.8</v>
      </c>
      <c r="AF55">
        <v>39865.4</v>
      </c>
      <c r="AG55">
        <v>39408.6</v>
      </c>
      <c r="AH55">
        <v>39979.1</v>
      </c>
    </row>
    <row r="56" spans="2:34" hidden="1">
      <c r="B56">
        <v>31064.3</v>
      </c>
      <c r="C56">
        <v>30533.4</v>
      </c>
      <c r="D56">
        <v>31274.799999999999</v>
      </c>
      <c r="E56">
        <v>30787.199999999997</v>
      </c>
      <c r="F56">
        <v>29929.300000000003</v>
      </c>
      <c r="I56">
        <v>34315.1</v>
      </c>
      <c r="J56">
        <v>32229.100000000002</v>
      </c>
      <c r="K56">
        <v>32581.4</v>
      </c>
      <c r="L56">
        <v>32691.1</v>
      </c>
      <c r="M56">
        <v>32378.100000000002</v>
      </c>
      <c r="P56">
        <v>34834.800000000003</v>
      </c>
      <c r="Q56">
        <v>35024.6</v>
      </c>
      <c r="R56">
        <v>32641.199999999997</v>
      </c>
      <c r="S56">
        <v>33161.4</v>
      </c>
      <c r="T56">
        <v>32737.699999999997</v>
      </c>
      <c r="W56">
        <v>20514</v>
      </c>
      <c r="X56">
        <v>18032.400000000001</v>
      </c>
      <c r="Y56">
        <v>37831.800000000003</v>
      </c>
      <c r="Z56">
        <v>39702.699999999997</v>
      </c>
      <c r="AA56">
        <v>37635.199999999997</v>
      </c>
      <c r="AD56">
        <v>18487</v>
      </c>
      <c r="AE56">
        <v>18806.599999999999</v>
      </c>
      <c r="AF56">
        <v>37767.9</v>
      </c>
      <c r="AG56">
        <v>40589.4</v>
      </c>
      <c r="AH56">
        <v>38359.1</v>
      </c>
    </row>
    <row r="57" spans="2:34" hidden="1">
      <c r="B57">
        <v>30412</v>
      </c>
      <c r="C57">
        <v>30889.3</v>
      </c>
      <c r="D57">
        <v>30664.799999999999</v>
      </c>
      <c r="E57">
        <v>30251.3</v>
      </c>
      <c r="F57">
        <v>30920.3</v>
      </c>
      <c r="I57">
        <v>31733.7</v>
      </c>
      <c r="J57">
        <v>31609.4</v>
      </c>
      <c r="K57">
        <v>31862.300000000003</v>
      </c>
      <c r="L57">
        <v>31534.199999999997</v>
      </c>
      <c r="M57">
        <v>32502.600000000002</v>
      </c>
      <c r="P57">
        <v>34558</v>
      </c>
      <c r="Q57">
        <v>35335.5</v>
      </c>
      <c r="R57">
        <v>63431.600000000006</v>
      </c>
      <c r="S57">
        <v>46698.3</v>
      </c>
      <c r="T57">
        <v>40256</v>
      </c>
      <c r="W57">
        <v>19516.599999999999</v>
      </c>
      <c r="X57">
        <v>18121</v>
      </c>
      <c r="Y57">
        <v>37431.9</v>
      </c>
      <c r="Z57">
        <v>39491.800000000003</v>
      </c>
      <c r="AA57">
        <v>37819.800000000003</v>
      </c>
      <c r="AD57">
        <v>18626.8</v>
      </c>
      <c r="AE57">
        <v>18290.2</v>
      </c>
      <c r="AF57">
        <v>38141.699999999997</v>
      </c>
      <c r="AG57">
        <v>40081.199999999997</v>
      </c>
      <c r="AH57">
        <v>38041.4</v>
      </c>
    </row>
    <row r="58" spans="2:34" hidden="1">
      <c r="B58">
        <v>30489.5</v>
      </c>
      <c r="C58">
        <v>30659.5</v>
      </c>
      <c r="D58">
        <v>30433.200000000001</v>
      </c>
      <c r="E58">
        <v>30451.599999999999</v>
      </c>
      <c r="F58">
        <v>30122.399999999998</v>
      </c>
      <c r="I58">
        <v>31592.3</v>
      </c>
      <c r="J58">
        <v>32756.999999999996</v>
      </c>
      <c r="K58">
        <v>33780.400000000001</v>
      </c>
      <c r="L58">
        <v>31889.1</v>
      </c>
      <c r="M58">
        <v>32429.699999999997</v>
      </c>
      <c r="P58">
        <v>78132.2</v>
      </c>
      <c r="Q58">
        <v>75066.5</v>
      </c>
      <c r="R58">
        <v>187626</v>
      </c>
      <c r="S58">
        <v>161560</v>
      </c>
      <c r="T58">
        <v>145321</v>
      </c>
      <c r="W58">
        <v>18642.2</v>
      </c>
      <c r="X58">
        <v>17992.3</v>
      </c>
      <c r="Y58">
        <v>37860.300000000003</v>
      </c>
      <c r="Z58">
        <v>39857.4</v>
      </c>
      <c r="AA58">
        <v>37690.5</v>
      </c>
      <c r="AD58">
        <v>19077.8</v>
      </c>
      <c r="AE58">
        <v>19475.3</v>
      </c>
      <c r="AF58">
        <v>37399.199999999997</v>
      </c>
      <c r="AG58">
        <v>45995.7</v>
      </c>
      <c r="AH58">
        <v>39437.9</v>
      </c>
    </row>
    <row r="59" spans="2:34" hidden="1">
      <c r="B59">
        <v>30384.3</v>
      </c>
      <c r="C59">
        <v>30559.3</v>
      </c>
      <c r="D59">
        <v>30724.799999999999</v>
      </c>
      <c r="E59">
        <v>30160.9</v>
      </c>
      <c r="F59">
        <v>31387.3</v>
      </c>
      <c r="I59">
        <v>31137.599999999999</v>
      </c>
      <c r="J59">
        <v>32842.9</v>
      </c>
      <c r="K59">
        <v>32628.399999999998</v>
      </c>
      <c r="L59">
        <v>31483.599999999999</v>
      </c>
      <c r="M59">
        <v>31977.699999999997</v>
      </c>
      <c r="P59">
        <v>75715.399999999994</v>
      </c>
      <c r="Q59">
        <v>56615.5</v>
      </c>
      <c r="R59">
        <v>38311.199999999997</v>
      </c>
      <c r="S59">
        <v>31104.3</v>
      </c>
      <c r="T59">
        <v>32311</v>
      </c>
      <c r="W59">
        <v>19449.7</v>
      </c>
      <c r="X59">
        <v>18169.900000000001</v>
      </c>
      <c r="Y59">
        <v>37623.800000000003</v>
      </c>
      <c r="Z59">
        <v>39387.1</v>
      </c>
      <c r="AA59">
        <v>39863.5</v>
      </c>
      <c r="AD59">
        <v>18876.7</v>
      </c>
      <c r="AE59">
        <v>19110.099999999999</v>
      </c>
      <c r="AF59">
        <v>38329.1</v>
      </c>
      <c r="AG59">
        <v>39504.199999999997</v>
      </c>
      <c r="AH59">
        <v>38180.6</v>
      </c>
    </row>
    <row r="60" spans="2:34" hidden="1">
      <c r="B60">
        <v>31413.7</v>
      </c>
      <c r="C60">
        <v>30471.5</v>
      </c>
      <c r="D60">
        <v>30245.100000000002</v>
      </c>
      <c r="E60">
        <v>30854.199999999997</v>
      </c>
      <c r="F60">
        <v>30231.8</v>
      </c>
      <c r="I60">
        <v>31282.799999999999</v>
      </c>
      <c r="J60">
        <v>31742</v>
      </c>
      <c r="K60">
        <v>32891.9</v>
      </c>
      <c r="L60">
        <v>31849.200000000001</v>
      </c>
      <c r="M60">
        <v>31696.2</v>
      </c>
      <c r="P60">
        <v>34270</v>
      </c>
      <c r="Q60">
        <v>32309.600000000002</v>
      </c>
      <c r="R60">
        <v>40989.800000000003</v>
      </c>
      <c r="S60">
        <v>35302</v>
      </c>
      <c r="T60">
        <v>34197.699999999997</v>
      </c>
      <c r="W60">
        <v>19070.7</v>
      </c>
      <c r="X60">
        <v>18054.599999999999</v>
      </c>
      <c r="Y60">
        <v>37610.1</v>
      </c>
      <c r="Z60">
        <v>39701.5</v>
      </c>
      <c r="AA60">
        <v>37443.199999999997</v>
      </c>
      <c r="AD60">
        <v>20457.5</v>
      </c>
      <c r="AE60">
        <v>20304.7</v>
      </c>
      <c r="AF60">
        <v>41322.300000000003</v>
      </c>
      <c r="AG60">
        <v>44389</v>
      </c>
      <c r="AH60">
        <v>38359.199999999997</v>
      </c>
    </row>
    <row r="61" spans="2:34" hidden="1">
      <c r="B61">
        <v>30922.3</v>
      </c>
      <c r="C61">
        <v>30720.7</v>
      </c>
      <c r="D61">
        <v>30455.4</v>
      </c>
      <c r="E61">
        <v>30071.4</v>
      </c>
      <c r="F61">
        <v>31415</v>
      </c>
      <c r="I61">
        <v>32197.200000000001</v>
      </c>
      <c r="J61">
        <v>31804.1</v>
      </c>
      <c r="K61">
        <v>32031.5</v>
      </c>
      <c r="L61">
        <v>34448.799999999996</v>
      </c>
      <c r="M61">
        <v>31345.8</v>
      </c>
      <c r="P61">
        <v>31538.3</v>
      </c>
      <c r="Q61">
        <v>33500.5</v>
      </c>
      <c r="R61">
        <v>32273.899999999998</v>
      </c>
      <c r="S61">
        <v>31583.200000000001</v>
      </c>
      <c r="T61">
        <v>34810</v>
      </c>
      <c r="W61">
        <v>19592.900000000001</v>
      </c>
      <c r="X61">
        <v>18236.599999999999</v>
      </c>
      <c r="Y61">
        <v>37372.5</v>
      </c>
      <c r="Z61">
        <v>39234.699999999997</v>
      </c>
      <c r="AA61">
        <v>39021.5</v>
      </c>
      <c r="AD61">
        <v>18709.7</v>
      </c>
      <c r="AE61">
        <v>27361.8</v>
      </c>
      <c r="AF61">
        <v>39082.1</v>
      </c>
      <c r="AG61">
        <v>40182.800000000003</v>
      </c>
      <c r="AH61">
        <v>38329.699999999997</v>
      </c>
    </row>
    <row r="62" spans="2:34" hidden="1">
      <c r="B62">
        <v>30965.3</v>
      </c>
      <c r="C62">
        <v>30537</v>
      </c>
      <c r="D62">
        <v>30552.1</v>
      </c>
      <c r="E62">
        <v>30251</v>
      </c>
      <c r="F62">
        <v>30284.199999999997</v>
      </c>
      <c r="I62">
        <v>30941.9</v>
      </c>
      <c r="J62">
        <v>31880.1</v>
      </c>
      <c r="K62">
        <v>33412.6</v>
      </c>
      <c r="L62">
        <v>31847</v>
      </c>
      <c r="M62">
        <v>31506.5</v>
      </c>
      <c r="P62">
        <v>32312.9</v>
      </c>
      <c r="Q62">
        <v>35143.300000000003</v>
      </c>
      <c r="R62">
        <v>33464.9</v>
      </c>
      <c r="S62">
        <v>32126.7</v>
      </c>
      <c r="T62">
        <v>32037.799999999996</v>
      </c>
      <c r="W62">
        <v>20094</v>
      </c>
      <c r="X62">
        <v>19982.400000000001</v>
      </c>
      <c r="Y62">
        <v>37715.199999999997</v>
      </c>
      <c r="Z62">
        <v>41651.599999999999</v>
      </c>
      <c r="AA62">
        <v>38723.4</v>
      </c>
      <c r="AD62">
        <v>18768.900000000001</v>
      </c>
      <c r="AE62">
        <v>18563</v>
      </c>
      <c r="AF62">
        <v>36916.699999999997</v>
      </c>
      <c r="AG62">
        <v>39658.400000000001</v>
      </c>
      <c r="AH62">
        <v>37571.5</v>
      </c>
    </row>
    <row r="63" spans="2:34" hidden="1">
      <c r="B63">
        <v>30113.599999999999</v>
      </c>
      <c r="C63">
        <v>31081.399999999998</v>
      </c>
      <c r="D63">
        <v>30890.6</v>
      </c>
      <c r="E63">
        <v>30667.599999999999</v>
      </c>
      <c r="F63">
        <v>30419.8</v>
      </c>
      <c r="I63">
        <v>32029.4</v>
      </c>
      <c r="J63">
        <v>32827.699999999997</v>
      </c>
      <c r="K63">
        <v>32580</v>
      </c>
      <c r="L63">
        <v>31376.5</v>
      </c>
      <c r="M63">
        <v>32377.499999999996</v>
      </c>
      <c r="P63">
        <v>34503.599999999999</v>
      </c>
      <c r="Q63">
        <v>33100</v>
      </c>
      <c r="R63">
        <v>32404.400000000001</v>
      </c>
      <c r="S63">
        <v>31223.4</v>
      </c>
      <c r="T63">
        <v>32565.199999999997</v>
      </c>
      <c r="W63">
        <v>21957.7</v>
      </c>
      <c r="X63">
        <v>24556.7</v>
      </c>
      <c r="Y63">
        <v>39697.300000000003</v>
      </c>
      <c r="Z63">
        <v>40143.5</v>
      </c>
      <c r="AA63">
        <v>38171.800000000003</v>
      </c>
      <c r="AD63">
        <v>18167.3</v>
      </c>
      <c r="AE63">
        <v>18167.7</v>
      </c>
      <c r="AF63">
        <v>37326.300000000003</v>
      </c>
      <c r="AG63">
        <v>39454.699999999997</v>
      </c>
      <c r="AH63">
        <v>38660.300000000003</v>
      </c>
    </row>
    <row r="64" spans="2:34" hidden="1">
      <c r="B64">
        <v>30404.400000000001</v>
      </c>
      <c r="C64">
        <v>30505.7</v>
      </c>
      <c r="D64">
        <v>30406.799999999999</v>
      </c>
      <c r="E64">
        <v>30218.699999999997</v>
      </c>
      <c r="F64">
        <v>30504.899999999998</v>
      </c>
      <c r="I64">
        <v>31170.6</v>
      </c>
      <c r="J64">
        <v>32334.899999999998</v>
      </c>
      <c r="K64">
        <v>33640.700000000004</v>
      </c>
      <c r="L64">
        <v>32217.7</v>
      </c>
      <c r="M64">
        <v>32212.000000000004</v>
      </c>
      <c r="P64">
        <v>34022.9</v>
      </c>
      <c r="Q64">
        <v>32700.899999999998</v>
      </c>
      <c r="R64">
        <v>31002.300000000003</v>
      </c>
      <c r="S64">
        <v>31972.5</v>
      </c>
      <c r="T64">
        <v>31257.599999999999</v>
      </c>
      <c r="W64">
        <v>20592.3</v>
      </c>
      <c r="X64">
        <v>20382</v>
      </c>
      <c r="Y64">
        <v>39552.400000000001</v>
      </c>
      <c r="Z64">
        <v>40276.800000000003</v>
      </c>
      <c r="AA64">
        <v>38928</v>
      </c>
      <c r="AD64">
        <v>19203.599999999999</v>
      </c>
      <c r="AE64">
        <v>18637.3</v>
      </c>
      <c r="AF64">
        <v>37088.400000000001</v>
      </c>
      <c r="AG64">
        <v>40557.9</v>
      </c>
      <c r="AH64">
        <v>38902.1</v>
      </c>
    </row>
    <row r="65" spans="2:34" hidden="1">
      <c r="B65">
        <v>30247.4</v>
      </c>
      <c r="C65">
        <v>30227.699999999997</v>
      </c>
      <c r="D65">
        <v>30571.599999999999</v>
      </c>
      <c r="E65">
        <v>30371.8</v>
      </c>
      <c r="F65">
        <v>30651.1</v>
      </c>
      <c r="I65">
        <v>31770.1</v>
      </c>
      <c r="J65">
        <v>32463</v>
      </c>
      <c r="K65">
        <v>33029.899999999994</v>
      </c>
      <c r="L65">
        <v>33173.1</v>
      </c>
      <c r="M65">
        <v>31964.600000000002</v>
      </c>
      <c r="P65">
        <v>32283.5</v>
      </c>
      <c r="Q65">
        <v>31724.9</v>
      </c>
      <c r="R65">
        <v>35226.100000000006</v>
      </c>
      <c r="S65">
        <v>31249.1</v>
      </c>
      <c r="T65">
        <v>31668.1</v>
      </c>
      <c r="W65">
        <v>19173.5</v>
      </c>
      <c r="X65">
        <v>19199.599999999999</v>
      </c>
      <c r="Y65">
        <v>42081.3</v>
      </c>
      <c r="Z65">
        <v>40589.300000000003</v>
      </c>
      <c r="AA65">
        <v>38234.1</v>
      </c>
      <c r="AD65">
        <v>18170.599999999999</v>
      </c>
      <c r="AE65">
        <v>17930.2</v>
      </c>
      <c r="AF65">
        <v>37302.400000000001</v>
      </c>
      <c r="AG65">
        <v>39128.1</v>
      </c>
      <c r="AH65">
        <v>37788.300000000003</v>
      </c>
    </row>
    <row r="66" spans="2:34" hidden="1">
      <c r="B66">
        <v>30521.599999999999</v>
      </c>
      <c r="C66">
        <v>30113.7</v>
      </c>
      <c r="D66">
        <v>30626.7</v>
      </c>
      <c r="E66">
        <v>30956</v>
      </c>
      <c r="F66">
        <v>30389.8</v>
      </c>
      <c r="I66">
        <v>31267.7</v>
      </c>
      <c r="J66">
        <v>32533.299999999996</v>
      </c>
      <c r="K66">
        <v>33151.899999999994</v>
      </c>
      <c r="L66">
        <v>32460.400000000001</v>
      </c>
      <c r="M66">
        <v>32753.100000000002</v>
      </c>
      <c r="P66">
        <v>30920.1</v>
      </c>
      <c r="Q66">
        <v>33135.199999999997</v>
      </c>
      <c r="R66">
        <v>35358.300000000003</v>
      </c>
      <c r="S66">
        <v>32535.699999999997</v>
      </c>
      <c r="T66">
        <v>32464.799999999996</v>
      </c>
      <c r="W66">
        <v>19620.5</v>
      </c>
      <c r="X66">
        <v>18829.900000000001</v>
      </c>
      <c r="Y66">
        <v>38149.1</v>
      </c>
      <c r="Z66">
        <v>39805.4</v>
      </c>
      <c r="AA66">
        <v>38387.300000000003</v>
      </c>
      <c r="AD66">
        <v>18487.5</v>
      </c>
      <c r="AE66">
        <v>19342.7</v>
      </c>
      <c r="AF66">
        <v>36990.6</v>
      </c>
      <c r="AG66">
        <v>39793.199999999997</v>
      </c>
      <c r="AH66">
        <v>39356.199999999997</v>
      </c>
    </row>
    <row r="67" spans="2:34" hidden="1">
      <c r="B67">
        <v>30119.3</v>
      </c>
      <c r="C67">
        <v>30487.7</v>
      </c>
      <c r="D67">
        <v>30412.799999999999</v>
      </c>
      <c r="E67">
        <v>30511.9</v>
      </c>
      <c r="F67">
        <v>30252.600000000002</v>
      </c>
      <c r="I67">
        <v>31867.200000000001</v>
      </c>
      <c r="J67">
        <v>33784.100000000006</v>
      </c>
      <c r="K67">
        <v>32624.000000000004</v>
      </c>
      <c r="L67">
        <v>31533</v>
      </c>
      <c r="M67">
        <v>38638</v>
      </c>
      <c r="P67">
        <v>32147.599999999999</v>
      </c>
      <c r="Q67">
        <v>31264.3</v>
      </c>
      <c r="R67">
        <v>31374.300000000003</v>
      </c>
      <c r="S67">
        <v>32324.599999999995</v>
      </c>
      <c r="T67">
        <v>32017.1</v>
      </c>
      <c r="W67">
        <v>18912.900000000001</v>
      </c>
      <c r="X67">
        <v>18892.5</v>
      </c>
      <c r="Y67">
        <v>39220.699999999997</v>
      </c>
      <c r="Z67">
        <v>40462.400000000001</v>
      </c>
      <c r="AA67">
        <v>38916.9</v>
      </c>
      <c r="AD67">
        <v>20174.2</v>
      </c>
      <c r="AE67">
        <v>19419.3</v>
      </c>
      <c r="AF67">
        <v>37989.800000000003</v>
      </c>
      <c r="AG67">
        <v>39646.800000000003</v>
      </c>
      <c r="AH67">
        <v>39377.1</v>
      </c>
    </row>
    <row r="68" spans="2:34" hidden="1">
      <c r="B68">
        <v>30673.7</v>
      </c>
      <c r="C68">
        <v>30620.799999999999</v>
      </c>
      <c r="D68">
        <v>30819.9</v>
      </c>
      <c r="E68">
        <v>30374.7</v>
      </c>
      <c r="F68">
        <v>30487.9</v>
      </c>
      <c r="I68">
        <v>34106.1</v>
      </c>
      <c r="J68">
        <v>39201.199999999997</v>
      </c>
      <c r="K68">
        <v>34716.700000000004</v>
      </c>
      <c r="L68">
        <v>34621.200000000004</v>
      </c>
      <c r="M68">
        <v>38793.700000000004</v>
      </c>
      <c r="P68">
        <v>30698.5</v>
      </c>
      <c r="Q68">
        <v>31317.9</v>
      </c>
      <c r="R68">
        <v>31957.7</v>
      </c>
      <c r="S68">
        <v>31541.200000000001</v>
      </c>
      <c r="T68">
        <v>33361</v>
      </c>
      <c r="W68">
        <v>20545.7</v>
      </c>
      <c r="X68">
        <v>18647.099999999999</v>
      </c>
      <c r="Y68">
        <v>38668.6</v>
      </c>
      <c r="Z68">
        <v>40113.599999999999</v>
      </c>
      <c r="AA68">
        <v>42370.9</v>
      </c>
      <c r="AD68">
        <v>18886.400000000001</v>
      </c>
      <c r="AE68">
        <v>18400.5</v>
      </c>
      <c r="AF68">
        <v>38373.199999999997</v>
      </c>
      <c r="AG68">
        <v>40782.400000000001</v>
      </c>
      <c r="AH68">
        <v>38278.9</v>
      </c>
    </row>
    <row r="69" spans="2:34" hidden="1">
      <c r="B69">
        <v>30860.6</v>
      </c>
      <c r="C69">
        <v>30285.399999999998</v>
      </c>
      <c r="D69">
        <v>30444.5</v>
      </c>
      <c r="E69">
        <v>31152.400000000001</v>
      </c>
      <c r="F69">
        <v>30332.899999999998</v>
      </c>
      <c r="I69">
        <v>39962.699999999997</v>
      </c>
      <c r="J69">
        <v>35543.4</v>
      </c>
      <c r="K69">
        <v>37746.5</v>
      </c>
      <c r="L69">
        <v>36915.700000000004</v>
      </c>
      <c r="M69">
        <v>34014.200000000004</v>
      </c>
      <c r="P69">
        <v>30892.9</v>
      </c>
      <c r="Q69">
        <v>31173.100000000002</v>
      </c>
      <c r="R69">
        <v>32113.599999999999</v>
      </c>
      <c r="S69">
        <v>31037.9</v>
      </c>
      <c r="T69">
        <v>30715.699999999997</v>
      </c>
      <c r="W69">
        <v>32636.1</v>
      </c>
      <c r="X69">
        <v>27996</v>
      </c>
      <c r="Y69">
        <v>51143.9</v>
      </c>
      <c r="Z69">
        <v>42024.800000000003</v>
      </c>
      <c r="AA69">
        <v>41026.6</v>
      </c>
      <c r="AD69">
        <v>17306.3</v>
      </c>
      <c r="AE69">
        <v>18062.599999999999</v>
      </c>
      <c r="AF69">
        <v>38470.699999999997</v>
      </c>
      <c r="AG69">
        <v>45404.800000000003</v>
      </c>
      <c r="AH69">
        <v>40505</v>
      </c>
    </row>
    <row r="70" spans="2:34" hidden="1">
      <c r="B70">
        <v>30460.1</v>
      </c>
      <c r="C70">
        <v>37355.600000000006</v>
      </c>
      <c r="D70">
        <v>31731.200000000001</v>
      </c>
      <c r="E70">
        <v>30881</v>
      </c>
      <c r="F70">
        <v>31201.5</v>
      </c>
      <c r="I70">
        <v>32603.5</v>
      </c>
      <c r="J70">
        <v>33061.100000000006</v>
      </c>
      <c r="K70">
        <v>32356.2</v>
      </c>
      <c r="L70">
        <v>44678.1</v>
      </c>
      <c r="M70">
        <v>51388.7</v>
      </c>
      <c r="P70">
        <v>31156.400000000001</v>
      </c>
      <c r="Q70">
        <v>31681.3</v>
      </c>
      <c r="R70">
        <v>33163.1</v>
      </c>
      <c r="S70">
        <v>31515.4</v>
      </c>
      <c r="T70">
        <v>31089.300000000003</v>
      </c>
      <c r="W70">
        <v>23795.9</v>
      </c>
      <c r="X70">
        <v>71460.600000000006</v>
      </c>
      <c r="Y70">
        <v>45948.2</v>
      </c>
      <c r="Z70">
        <v>46322</v>
      </c>
      <c r="AA70">
        <v>40533.4</v>
      </c>
      <c r="AD70">
        <v>21828.7</v>
      </c>
      <c r="AE70">
        <v>19339.8</v>
      </c>
      <c r="AF70">
        <v>38642.800000000003</v>
      </c>
      <c r="AG70">
        <v>40425.300000000003</v>
      </c>
      <c r="AH70">
        <v>38248.400000000001</v>
      </c>
    </row>
    <row r="71" spans="2:34" hidden="1">
      <c r="B71">
        <v>30779.5</v>
      </c>
      <c r="C71">
        <v>31601.9</v>
      </c>
      <c r="D71">
        <v>31591.7</v>
      </c>
      <c r="E71">
        <v>31365.5</v>
      </c>
      <c r="F71">
        <v>30748.7</v>
      </c>
      <c r="I71">
        <v>46074.2</v>
      </c>
      <c r="J71">
        <v>34156.300000000003</v>
      </c>
      <c r="K71">
        <v>33709.599999999999</v>
      </c>
      <c r="L71">
        <v>33562.699999999997</v>
      </c>
      <c r="M71">
        <v>32480.5</v>
      </c>
      <c r="P71">
        <v>32015.9</v>
      </c>
      <c r="Q71">
        <v>31445.5</v>
      </c>
      <c r="R71">
        <v>31927</v>
      </c>
      <c r="S71">
        <v>30871.1</v>
      </c>
      <c r="T71">
        <v>30743.8</v>
      </c>
      <c r="W71">
        <v>21469.3</v>
      </c>
      <c r="X71">
        <v>19529.599999999999</v>
      </c>
      <c r="Y71">
        <v>41178.5</v>
      </c>
      <c r="Z71">
        <v>42005.5</v>
      </c>
      <c r="AA71">
        <v>41119.9</v>
      </c>
      <c r="AD71">
        <v>18596.099999999999</v>
      </c>
      <c r="AE71">
        <v>19111.400000000001</v>
      </c>
      <c r="AF71">
        <v>37415.9</v>
      </c>
      <c r="AG71">
        <v>40236.800000000003</v>
      </c>
      <c r="AH71">
        <v>39904.1</v>
      </c>
    </row>
    <row r="72" spans="2:34" hidden="1">
      <c r="B72">
        <v>30613.8</v>
      </c>
      <c r="C72">
        <v>31140.5</v>
      </c>
      <c r="D72">
        <v>30962.5</v>
      </c>
      <c r="E72">
        <v>31354.5</v>
      </c>
      <c r="F72">
        <v>31332.100000000002</v>
      </c>
      <c r="I72">
        <v>34050.9</v>
      </c>
      <c r="J72">
        <v>33156.799999999996</v>
      </c>
      <c r="K72">
        <v>33490.299999999996</v>
      </c>
      <c r="L72">
        <v>33292.6</v>
      </c>
      <c r="M72">
        <v>32547.5</v>
      </c>
      <c r="P72">
        <v>30960.5</v>
      </c>
      <c r="Q72">
        <v>32462.600000000002</v>
      </c>
      <c r="R72">
        <v>31396.2</v>
      </c>
      <c r="S72">
        <v>32124.2</v>
      </c>
      <c r="T72">
        <v>32319.899999999998</v>
      </c>
      <c r="W72">
        <v>20370.3</v>
      </c>
      <c r="X72">
        <v>20346.3</v>
      </c>
      <c r="Y72">
        <v>39854.699999999997</v>
      </c>
      <c r="Z72">
        <v>57089</v>
      </c>
      <c r="AA72">
        <v>52708.1</v>
      </c>
      <c r="AD72">
        <v>20926.900000000001</v>
      </c>
      <c r="AE72">
        <v>19728.400000000001</v>
      </c>
      <c r="AF72">
        <v>37618.800000000003</v>
      </c>
      <c r="AG72">
        <v>49002.1</v>
      </c>
      <c r="AH72">
        <v>41158.400000000001</v>
      </c>
    </row>
    <row r="73" spans="2:34" hidden="1">
      <c r="B73">
        <v>30755.5</v>
      </c>
      <c r="C73">
        <v>31307.1</v>
      </c>
      <c r="D73">
        <v>32342.199999999997</v>
      </c>
      <c r="E73">
        <v>31249.1</v>
      </c>
      <c r="F73">
        <v>30392.800000000003</v>
      </c>
      <c r="I73">
        <v>31703.1</v>
      </c>
      <c r="J73">
        <v>34497.5</v>
      </c>
      <c r="K73">
        <v>34257.800000000003</v>
      </c>
      <c r="L73">
        <v>38081.5</v>
      </c>
      <c r="M73">
        <v>37603.9</v>
      </c>
      <c r="P73">
        <v>32161.9</v>
      </c>
      <c r="Q73">
        <v>31878.3</v>
      </c>
      <c r="R73">
        <v>31666.899999999998</v>
      </c>
      <c r="S73">
        <v>30888.3</v>
      </c>
      <c r="T73">
        <v>30982</v>
      </c>
      <c r="W73">
        <v>20413.8</v>
      </c>
      <c r="X73">
        <v>21250.6</v>
      </c>
      <c r="Y73">
        <v>40343.4</v>
      </c>
      <c r="Z73">
        <v>45865</v>
      </c>
      <c r="AA73">
        <v>41551.300000000003</v>
      </c>
      <c r="AD73">
        <v>19010.599999999999</v>
      </c>
      <c r="AE73">
        <v>18131.7</v>
      </c>
      <c r="AF73">
        <v>36850.6</v>
      </c>
      <c r="AG73">
        <v>40903.800000000003</v>
      </c>
      <c r="AH73">
        <v>38870.300000000003</v>
      </c>
    </row>
    <row r="74" spans="2:34" hidden="1">
      <c r="B74">
        <v>31264.3</v>
      </c>
      <c r="C74">
        <v>31374.9</v>
      </c>
      <c r="D74">
        <v>30916</v>
      </c>
      <c r="E74">
        <v>31884.1</v>
      </c>
      <c r="F74">
        <v>31872.1</v>
      </c>
      <c r="I74">
        <v>73095.7</v>
      </c>
      <c r="J74">
        <v>37775.699999999997</v>
      </c>
      <c r="K74">
        <v>37656.9</v>
      </c>
      <c r="L74">
        <v>32708.100000000002</v>
      </c>
      <c r="M74">
        <v>31982.799999999999</v>
      </c>
      <c r="P74">
        <v>31267.8</v>
      </c>
      <c r="Q74">
        <v>31996</v>
      </c>
      <c r="R74">
        <v>32299.200000000001</v>
      </c>
      <c r="S74">
        <v>32506.500000000004</v>
      </c>
      <c r="T74">
        <v>32087.200000000004</v>
      </c>
      <c r="W74">
        <v>20014.8</v>
      </c>
      <c r="X74">
        <v>19403.2</v>
      </c>
      <c r="Y74">
        <v>41759.699999999997</v>
      </c>
      <c r="Z74">
        <v>44871.9</v>
      </c>
      <c r="AA74">
        <v>40943.1</v>
      </c>
      <c r="AD74">
        <v>19197.3</v>
      </c>
      <c r="AE74">
        <v>22493.1</v>
      </c>
      <c r="AF74">
        <v>37910.6</v>
      </c>
      <c r="AG74">
        <v>41169.699999999997</v>
      </c>
      <c r="AH74">
        <v>38008.699999999997</v>
      </c>
    </row>
    <row r="75" spans="2:34" hidden="1">
      <c r="B75">
        <v>31620.9</v>
      </c>
      <c r="C75">
        <v>33043.4</v>
      </c>
      <c r="D75">
        <v>31660</v>
      </c>
      <c r="E75">
        <v>32668.6</v>
      </c>
      <c r="F75">
        <v>31010.2</v>
      </c>
      <c r="I75">
        <v>39763.300000000003</v>
      </c>
      <c r="J75">
        <v>36773</v>
      </c>
      <c r="K75">
        <v>40772.699999999997</v>
      </c>
      <c r="L75">
        <v>34307.200000000004</v>
      </c>
      <c r="M75">
        <v>34959</v>
      </c>
      <c r="P75">
        <v>32389.4</v>
      </c>
      <c r="Q75">
        <v>32138.399999999998</v>
      </c>
      <c r="R75">
        <v>32354.9</v>
      </c>
      <c r="S75">
        <v>34529.599999999999</v>
      </c>
      <c r="T75">
        <v>33494.799999999996</v>
      </c>
      <c r="W75">
        <v>21473.1</v>
      </c>
      <c r="X75">
        <v>20169.2</v>
      </c>
      <c r="Y75">
        <v>40558.1</v>
      </c>
      <c r="Z75">
        <v>40724.6</v>
      </c>
      <c r="AA75">
        <v>40429</v>
      </c>
      <c r="AD75">
        <v>19966.099999999999</v>
      </c>
      <c r="AE75">
        <v>18273.099999999999</v>
      </c>
      <c r="AF75">
        <v>37824.800000000003</v>
      </c>
      <c r="AG75">
        <v>45537.1</v>
      </c>
      <c r="AH75">
        <v>38929.1</v>
      </c>
    </row>
    <row r="76" spans="2:34" hidden="1">
      <c r="B76">
        <v>31110.2</v>
      </c>
      <c r="C76">
        <v>31658.5</v>
      </c>
      <c r="D76">
        <v>31696.899999999998</v>
      </c>
      <c r="E76">
        <v>31467.600000000002</v>
      </c>
      <c r="F76">
        <v>30957.599999999999</v>
      </c>
      <c r="I76">
        <v>36234.699999999997</v>
      </c>
      <c r="J76">
        <v>36785.300000000003</v>
      </c>
      <c r="K76">
        <v>35929.9</v>
      </c>
      <c r="L76">
        <v>34120.699999999997</v>
      </c>
      <c r="M76">
        <v>36408.400000000001</v>
      </c>
      <c r="P76">
        <v>33426.800000000003</v>
      </c>
      <c r="Q76">
        <v>33745.600000000006</v>
      </c>
      <c r="R76">
        <v>34802.5</v>
      </c>
      <c r="S76">
        <v>41862.1</v>
      </c>
      <c r="T76">
        <v>35070</v>
      </c>
      <c r="W76">
        <v>20615.7</v>
      </c>
      <c r="X76">
        <v>21087.5</v>
      </c>
      <c r="Y76">
        <v>38968.6</v>
      </c>
      <c r="Z76">
        <v>40294.199999999997</v>
      </c>
      <c r="AA76">
        <v>38520.300000000003</v>
      </c>
      <c r="AD76">
        <v>18702.7</v>
      </c>
      <c r="AE76">
        <v>18283</v>
      </c>
      <c r="AF76">
        <v>37416.5</v>
      </c>
      <c r="AG76">
        <v>40217.199999999997</v>
      </c>
      <c r="AH76">
        <v>38857</v>
      </c>
    </row>
    <row r="77" spans="2:34" hidden="1">
      <c r="B77">
        <v>30750.2</v>
      </c>
      <c r="C77">
        <v>31160.9</v>
      </c>
      <c r="D77">
        <v>31206.600000000002</v>
      </c>
      <c r="E77">
        <v>31751.5</v>
      </c>
      <c r="F77">
        <v>30649</v>
      </c>
      <c r="I77">
        <v>35963.699999999997</v>
      </c>
      <c r="J77">
        <v>34962.5</v>
      </c>
      <c r="K77">
        <v>32823.9</v>
      </c>
      <c r="L77">
        <v>31984.3</v>
      </c>
      <c r="M77">
        <v>32049.300000000003</v>
      </c>
      <c r="P77">
        <v>33356.300000000003</v>
      </c>
      <c r="Q77">
        <v>31736.3</v>
      </c>
      <c r="R77">
        <v>32508.600000000002</v>
      </c>
      <c r="S77">
        <v>32414.499999999996</v>
      </c>
      <c r="T77">
        <v>31791.8</v>
      </c>
      <c r="W77">
        <v>19556.2</v>
      </c>
      <c r="X77">
        <v>19017.5</v>
      </c>
      <c r="Y77">
        <v>38476.5</v>
      </c>
      <c r="Z77">
        <v>43922.3</v>
      </c>
      <c r="AA77">
        <v>46004.800000000003</v>
      </c>
      <c r="AD77">
        <v>18469</v>
      </c>
      <c r="AE77">
        <v>17858.7</v>
      </c>
      <c r="AF77">
        <v>39282.199999999997</v>
      </c>
      <c r="AG77">
        <v>39783.1</v>
      </c>
      <c r="AH77">
        <v>37623.599999999999</v>
      </c>
    </row>
    <row r="78" spans="2:34" hidden="1">
      <c r="B78">
        <v>32266.9</v>
      </c>
      <c r="C78">
        <v>30353.8</v>
      </c>
      <c r="D78">
        <v>31024.799999999999</v>
      </c>
      <c r="E78">
        <v>31049</v>
      </c>
      <c r="F78">
        <v>30140.899999999998</v>
      </c>
      <c r="I78">
        <v>31439.200000000001</v>
      </c>
      <c r="J78">
        <v>31714.1</v>
      </c>
      <c r="K78">
        <v>32100.400000000001</v>
      </c>
      <c r="L78">
        <v>33800.300000000003</v>
      </c>
      <c r="M78">
        <v>33481.200000000004</v>
      </c>
      <c r="P78">
        <v>31037.8</v>
      </c>
      <c r="Q78">
        <v>32620.800000000003</v>
      </c>
      <c r="R78">
        <v>32083.399999999998</v>
      </c>
      <c r="S78">
        <v>31626.799999999999</v>
      </c>
      <c r="T78">
        <v>32009.099999999995</v>
      </c>
      <c r="W78">
        <v>39386.5</v>
      </c>
      <c r="X78">
        <v>23286.1</v>
      </c>
      <c r="Y78">
        <v>49290.3</v>
      </c>
      <c r="Z78">
        <v>41356.699999999997</v>
      </c>
      <c r="AA78">
        <v>41572.1</v>
      </c>
      <c r="AD78">
        <v>18161.7</v>
      </c>
      <c r="AE78">
        <v>17974.900000000001</v>
      </c>
      <c r="AF78">
        <v>37446</v>
      </c>
      <c r="AG78">
        <v>40464</v>
      </c>
      <c r="AH78">
        <v>38020.5</v>
      </c>
    </row>
    <row r="79" spans="2:34" hidden="1">
      <c r="B79">
        <v>30273.7</v>
      </c>
      <c r="C79">
        <v>30565.599999999999</v>
      </c>
      <c r="D79">
        <v>30845.7</v>
      </c>
      <c r="E79">
        <v>30520.5</v>
      </c>
      <c r="F79">
        <v>30232.199999999997</v>
      </c>
      <c r="I79">
        <v>33112.300000000003</v>
      </c>
      <c r="J79">
        <v>33907.800000000003</v>
      </c>
      <c r="K79">
        <v>33902</v>
      </c>
      <c r="L79">
        <v>36834.800000000003</v>
      </c>
      <c r="M79">
        <v>34836</v>
      </c>
      <c r="P79">
        <v>31227.7</v>
      </c>
      <c r="Q79">
        <v>32073.300000000003</v>
      </c>
      <c r="R79">
        <v>32781.4</v>
      </c>
      <c r="S79">
        <v>32931.300000000003</v>
      </c>
      <c r="T79">
        <v>32369.500000000004</v>
      </c>
      <c r="W79">
        <v>19739.7</v>
      </c>
      <c r="X79">
        <v>36954</v>
      </c>
      <c r="Y79">
        <v>61161</v>
      </c>
      <c r="Z79">
        <v>44667</v>
      </c>
      <c r="AA79">
        <v>46966.7</v>
      </c>
      <c r="AD79">
        <v>18177.5</v>
      </c>
      <c r="AE79">
        <v>17722.2</v>
      </c>
      <c r="AF79">
        <v>38273.699999999997</v>
      </c>
      <c r="AG79">
        <v>41297</v>
      </c>
      <c r="AH79">
        <v>37844.800000000003</v>
      </c>
    </row>
    <row r="80" spans="2:34" hidden="1">
      <c r="B80">
        <v>30392.6</v>
      </c>
      <c r="C80">
        <v>30148.5</v>
      </c>
      <c r="D80">
        <v>30862.9</v>
      </c>
      <c r="E80">
        <v>30683.399999999998</v>
      </c>
      <c r="F80">
        <v>30351.7</v>
      </c>
      <c r="I80">
        <v>33007.800000000003</v>
      </c>
      <c r="J80">
        <v>32284.9</v>
      </c>
      <c r="K80">
        <v>33587.200000000004</v>
      </c>
      <c r="L80">
        <v>33084.6</v>
      </c>
      <c r="M80">
        <v>32117.7</v>
      </c>
      <c r="P80">
        <v>36172</v>
      </c>
      <c r="Q80">
        <v>32652.1</v>
      </c>
      <c r="R80">
        <v>33142.800000000003</v>
      </c>
      <c r="S80">
        <v>32099.5</v>
      </c>
      <c r="T80">
        <v>31758.199999999997</v>
      </c>
      <c r="W80">
        <v>20052</v>
      </c>
      <c r="X80">
        <v>19211.400000000001</v>
      </c>
      <c r="Y80">
        <v>42565.8</v>
      </c>
      <c r="Z80">
        <v>40554.300000000003</v>
      </c>
      <c r="AA80">
        <v>38086.199999999997</v>
      </c>
      <c r="AD80">
        <v>18696.8</v>
      </c>
      <c r="AE80">
        <v>18348.8</v>
      </c>
      <c r="AF80">
        <v>37269.300000000003</v>
      </c>
      <c r="AG80">
        <v>40794.6</v>
      </c>
      <c r="AH80">
        <v>38964.9</v>
      </c>
    </row>
    <row r="81" spans="2:34" hidden="1">
      <c r="B81">
        <v>30033.9</v>
      </c>
      <c r="C81">
        <v>31139.1</v>
      </c>
      <c r="D81">
        <v>30344.7</v>
      </c>
      <c r="E81">
        <v>30603.599999999999</v>
      </c>
      <c r="F81">
        <v>30892.800000000003</v>
      </c>
      <c r="I81">
        <v>35036.6</v>
      </c>
      <c r="J81">
        <v>35218.800000000003</v>
      </c>
      <c r="K81">
        <v>37093.800000000003</v>
      </c>
      <c r="L81">
        <v>32908.700000000004</v>
      </c>
      <c r="M81">
        <v>32679.3</v>
      </c>
      <c r="P81">
        <v>31543.9</v>
      </c>
      <c r="Q81">
        <v>31862</v>
      </c>
      <c r="R81">
        <v>31629.599999999999</v>
      </c>
      <c r="S81">
        <v>31224.3</v>
      </c>
      <c r="T81">
        <v>31659</v>
      </c>
      <c r="W81">
        <v>19194.5</v>
      </c>
      <c r="X81">
        <v>18183</v>
      </c>
      <c r="Y81">
        <v>48107.1</v>
      </c>
      <c r="Z81">
        <v>42164.3</v>
      </c>
      <c r="AA81">
        <v>39236.199999999997</v>
      </c>
      <c r="AD81">
        <v>19044.099999999999</v>
      </c>
      <c r="AE81">
        <v>18150.900000000001</v>
      </c>
      <c r="AF81">
        <v>39667.5</v>
      </c>
      <c r="AG81">
        <v>41516.699999999997</v>
      </c>
      <c r="AH81">
        <v>38468.699999999997</v>
      </c>
    </row>
    <row r="82" spans="2:34" hidden="1">
      <c r="B82">
        <v>30369.8</v>
      </c>
      <c r="C82">
        <v>30181.8</v>
      </c>
      <c r="D82">
        <v>30856.6</v>
      </c>
      <c r="E82">
        <v>30278.600000000002</v>
      </c>
      <c r="F82">
        <v>30355</v>
      </c>
      <c r="I82">
        <v>32514</v>
      </c>
      <c r="J82">
        <v>40232.9</v>
      </c>
      <c r="K82">
        <v>35480.200000000004</v>
      </c>
      <c r="L82">
        <v>33031.699999999997</v>
      </c>
      <c r="M82">
        <v>32807.200000000004</v>
      </c>
      <c r="P82">
        <v>31614.799999999999</v>
      </c>
      <c r="Q82">
        <v>33174.300000000003</v>
      </c>
      <c r="R82">
        <v>31816.7</v>
      </c>
      <c r="S82">
        <v>32709.5</v>
      </c>
      <c r="T82">
        <v>32402.1</v>
      </c>
      <c r="W82">
        <v>18837.5</v>
      </c>
      <c r="X82">
        <v>19325.099999999999</v>
      </c>
      <c r="Y82">
        <v>38031.800000000003</v>
      </c>
      <c r="Z82">
        <v>40614.800000000003</v>
      </c>
      <c r="AA82">
        <v>39457.9</v>
      </c>
      <c r="AD82">
        <v>22942.6</v>
      </c>
      <c r="AE82">
        <v>19371.599999999999</v>
      </c>
      <c r="AF82">
        <v>37441.4</v>
      </c>
      <c r="AG82">
        <v>40103</v>
      </c>
      <c r="AH82">
        <v>39566.300000000003</v>
      </c>
    </row>
    <row r="83" spans="2:34" hidden="1">
      <c r="B83">
        <v>30223.8</v>
      </c>
      <c r="C83">
        <v>30989.5</v>
      </c>
      <c r="D83">
        <v>30196.100000000002</v>
      </c>
      <c r="E83">
        <v>30268.100000000002</v>
      </c>
      <c r="F83">
        <v>30283.899999999998</v>
      </c>
      <c r="I83">
        <v>33618.300000000003</v>
      </c>
      <c r="J83">
        <v>32772.9</v>
      </c>
      <c r="K83">
        <v>34950.699999999997</v>
      </c>
      <c r="L83">
        <v>32230.1</v>
      </c>
      <c r="M83">
        <v>32001.600000000002</v>
      </c>
      <c r="P83">
        <v>31169.4</v>
      </c>
      <c r="Q83">
        <v>32578.000000000004</v>
      </c>
      <c r="R83">
        <v>32482.100000000002</v>
      </c>
      <c r="S83">
        <v>30941.4</v>
      </c>
      <c r="T83">
        <v>31364.899999999998</v>
      </c>
      <c r="W83">
        <v>19690.7</v>
      </c>
      <c r="X83">
        <v>19319</v>
      </c>
      <c r="Y83">
        <v>38867.699999999997</v>
      </c>
      <c r="Z83">
        <v>41096.800000000003</v>
      </c>
      <c r="AA83">
        <v>58792.7</v>
      </c>
      <c r="AD83">
        <v>19858.7</v>
      </c>
      <c r="AE83">
        <v>18404.900000000001</v>
      </c>
      <c r="AF83">
        <v>37746.300000000003</v>
      </c>
      <c r="AG83">
        <v>40342.9</v>
      </c>
      <c r="AH83">
        <v>48059.7</v>
      </c>
    </row>
    <row r="84" spans="2:34" hidden="1">
      <c r="B84">
        <v>30827.7</v>
      </c>
      <c r="C84">
        <v>30171.3</v>
      </c>
      <c r="D84">
        <v>30550.899999999998</v>
      </c>
      <c r="E84">
        <v>30201.899999999998</v>
      </c>
      <c r="F84">
        <v>30620.6</v>
      </c>
      <c r="I84">
        <v>32506</v>
      </c>
      <c r="J84">
        <v>32703.200000000001</v>
      </c>
      <c r="K84">
        <v>31986</v>
      </c>
      <c r="L84">
        <v>31756.2</v>
      </c>
      <c r="M84">
        <v>32705.199999999997</v>
      </c>
      <c r="P84">
        <v>31220.6</v>
      </c>
      <c r="Q84">
        <v>31331.5</v>
      </c>
      <c r="R84">
        <v>32522.6</v>
      </c>
      <c r="S84">
        <v>30984.3</v>
      </c>
      <c r="T84">
        <v>30759.399999999998</v>
      </c>
      <c r="W84">
        <v>24813.5</v>
      </c>
      <c r="X84">
        <v>40285.9</v>
      </c>
      <c r="Y84">
        <v>40357.1</v>
      </c>
      <c r="Z84">
        <v>41740.6</v>
      </c>
      <c r="AA84">
        <v>45678.5</v>
      </c>
      <c r="AD84">
        <v>18168.5</v>
      </c>
      <c r="AE84">
        <v>20561.5</v>
      </c>
      <c r="AF84">
        <v>38214.9</v>
      </c>
      <c r="AG84">
        <v>40066</v>
      </c>
      <c r="AH84">
        <v>39885.300000000003</v>
      </c>
    </row>
    <row r="85" spans="2:34" hidden="1">
      <c r="B85">
        <v>30074</v>
      </c>
      <c r="C85">
        <v>30967.4</v>
      </c>
      <c r="D85">
        <v>30200.9</v>
      </c>
      <c r="E85">
        <v>30991.9</v>
      </c>
      <c r="F85">
        <v>30403.199999999997</v>
      </c>
      <c r="I85">
        <v>32035.1</v>
      </c>
      <c r="J85">
        <v>33055.199999999997</v>
      </c>
      <c r="K85">
        <v>33410.400000000001</v>
      </c>
      <c r="L85">
        <v>31867.3</v>
      </c>
      <c r="M85">
        <v>31028</v>
      </c>
      <c r="P85">
        <v>31160.9</v>
      </c>
      <c r="Q85">
        <v>31605.200000000001</v>
      </c>
      <c r="R85">
        <v>31079.200000000001</v>
      </c>
      <c r="S85">
        <v>31989.3</v>
      </c>
      <c r="T85">
        <v>31865.300000000003</v>
      </c>
      <c r="W85">
        <v>21573.3</v>
      </c>
      <c r="X85">
        <v>19738.5</v>
      </c>
      <c r="Y85">
        <v>41364.9</v>
      </c>
      <c r="Z85">
        <v>48540.4</v>
      </c>
      <c r="AA85">
        <v>38209.699999999997</v>
      </c>
      <c r="AD85">
        <v>18845.599999999999</v>
      </c>
      <c r="AE85">
        <v>18826.400000000001</v>
      </c>
      <c r="AF85">
        <v>36887.599999999999</v>
      </c>
      <c r="AG85">
        <v>43221.2</v>
      </c>
      <c r="AH85">
        <v>37473.4</v>
      </c>
    </row>
    <row r="86" spans="2:34" hidden="1">
      <c r="B86">
        <v>30171.8</v>
      </c>
      <c r="C86">
        <v>30057.8</v>
      </c>
      <c r="D86">
        <v>31943.100000000002</v>
      </c>
      <c r="E86">
        <v>30387.1</v>
      </c>
      <c r="F86">
        <v>30593.399999999998</v>
      </c>
      <c r="I86">
        <v>32034.400000000001</v>
      </c>
      <c r="J86">
        <v>32902.9</v>
      </c>
      <c r="K86">
        <v>32250.6</v>
      </c>
      <c r="L86">
        <v>32053.100000000002</v>
      </c>
      <c r="M86">
        <v>32144.300000000003</v>
      </c>
      <c r="P86">
        <v>31244.1</v>
      </c>
      <c r="Q86">
        <v>31389.199999999997</v>
      </c>
      <c r="R86">
        <v>31908</v>
      </c>
      <c r="S86">
        <v>30859.3</v>
      </c>
      <c r="T86">
        <v>31055.800000000003</v>
      </c>
      <c r="W86">
        <v>20561.2</v>
      </c>
      <c r="X86">
        <v>21453.200000000001</v>
      </c>
      <c r="Y86">
        <v>50601.3</v>
      </c>
      <c r="Z86">
        <v>42238.9</v>
      </c>
      <c r="AA86">
        <v>38765.1</v>
      </c>
      <c r="AD86">
        <v>18539.3</v>
      </c>
      <c r="AE86">
        <v>18614.7</v>
      </c>
      <c r="AF86">
        <v>37108.5</v>
      </c>
      <c r="AG86">
        <v>39051.300000000003</v>
      </c>
      <c r="AH86">
        <v>36682.1</v>
      </c>
    </row>
    <row r="87" spans="2:34" hidden="1">
      <c r="B87">
        <v>30339.599999999999</v>
      </c>
      <c r="C87">
        <v>31143.8</v>
      </c>
      <c r="D87">
        <v>32335.500000000004</v>
      </c>
      <c r="E87">
        <v>30994.1</v>
      </c>
      <c r="F87">
        <v>30903.1</v>
      </c>
      <c r="I87">
        <v>31684.3</v>
      </c>
      <c r="J87">
        <v>32531.9</v>
      </c>
      <c r="K87">
        <v>32315.3</v>
      </c>
      <c r="L87">
        <v>32311</v>
      </c>
      <c r="M87">
        <v>33260.199999999997</v>
      </c>
      <c r="P87">
        <v>30761</v>
      </c>
      <c r="Q87">
        <v>31119.800000000003</v>
      </c>
      <c r="R87">
        <v>31666.799999999999</v>
      </c>
      <c r="S87">
        <v>31141.200000000001</v>
      </c>
      <c r="T87">
        <v>31274.899999999998</v>
      </c>
      <c r="W87">
        <v>24387.1</v>
      </c>
      <c r="X87">
        <v>23977.7</v>
      </c>
      <c r="Y87">
        <v>38593.599999999999</v>
      </c>
      <c r="Z87">
        <v>41529.5</v>
      </c>
      <c r="AA87">
        <v>41981.5</v>
      </c>
      <c r="AD87">
        <v>18497.900000000001</v>
      </c>
      <c r="AE87">
        <v>17021.900000000001</v>
      </c>
      <c r="AF87">
        <v>37100.699999999997</v>
      </c>
      <c r="AG87">
        <v>39419.5</v>
      </c>
      <c r="AH87">
        <v>37252</v>
      </c>
    </row>
    <row r="88" spans="2:34" hidden="1">
      <c r="B88">
        <v>30483.9</v>
      </c>
      <c r="C88">
        <v>30938.400000000001</v>
      </c>
      <c r="D88">
        <v>30411.8</v>
      </c>
      <c r="E88">
        <v>30854</v>
      </c>
      <c r="F88">
        <v>30328.9</v>
      </c>
      <c r="I88">
        <v>32905.5</v>
      </c>
      <c r="J88">
        <v>31759</v>
      </c>
      <c r="K88">
        <v>32069.899999999998</v>
      </c>
      <c r="L88">
        <v>34957.700000000004</v>
      </c>
      <c r="M88">
        <v>31290.9</v>
      </c>
      <c r="P88">
        <v>32196.3</v>
      </c>
      <c r="Q88">
        <v>31678.899999999998</v>
      </c>
      <c r="R88">
        <v>31887.699999999997</v>
      </c>
      <c r="S88">
        <v>30847.200000000001</v>
      </c>
      <c r="T88">
        <v>30675.4</v>
      </c>
      <c r="W88">
        <v>21408.7</v>
      </c>
      <c r="X88">
        <v>19017.2</v>
      </c>
      <c r="Y88">
        <v>38996.1</v>
      </c>
      <c r="Z88">
        <v>41916.199999999997</v>
      </c>
      <c r="AA88">
        <v>50716.6</v>
      </c>
      <c r="AD88">
        <v>17723.2</v>
      </c>
      <c r="AE88">
        <v>17070.900000000001</v>
      </c>
      <c r="AF88">
        <v>36642</v>
      </c>
      <c r="AG88">
        <v>39243.199999999997</v>
      </c>
      <c r="AH88">
        <v>36978.300000000003</v>
      </c>
    </row>
    <row r="89" spans="2:34" hidden="1">
      <c r="B89">
        <v>30482.400000000001</v>
      </c>
      <c r="C89">
        <v>30278.5</v>
      </c>
      <c r="D89">
        <v>30769.9</v>
      </c>
      <c r="E89">
        <v>30541.3</v>
      </c>
      <c r="F89">
        <v>30177.200000000001</v>
      </c>
      <c r="I89">
        <v>32143.9</v>
      </c>
      <c r="J89">
        <v>34549.5</v>
      </c>
      <c r="K89">
        <v>32975.9</v>
      </c>
      <c r="L89">
        <v>41233.699999999997</v>
      </c>
      <c r="M89">
        <v>44896.9</v>
      </c>
      <c r="P89">
        <v>31129.3</v>
      </c>
      <c r="Q89">
        <v>30710.899999999998</v>
      </c>
      <c r="R89">
        <v>31290.7</v>
      </c>
      <c r="S89">
        <v>31459.7</v>
      </c>
      <c r="T89">
        <v>31057</v>
      </c>
      <c r="W89">
        <v>32224.7</v>
      </c>
      <c r="X89">
        <v>24525.5</v>
      </c>
      <c r="Y89">
        <v>41109.9</v>
      </c>
      <c r="Z89">
        <v>41379.5</v>
      </c>
      <c r="AA89">
        <v>39090.5</v>
      </c>
      <c r="AD89">
        <v>21623.3</v>
      </c>
      <c r="AE89">
        <v>17296.7</v>
      </c>
      <c r="AF89">
        <v>36379.5</v>
      </c>
      <c r="AG89">
        <v>38894.1</v>
      </c>
      <c r="AH89">
        <v>39235.5</v>
      </c>
    </row>
    <row r="90" spans="2:34">
      <c r="B90">
        <v>30831.8</v>
      </c>
      <c r="C90">
        <v>30462</v>
      </c>
      <c r="D90">
        <v>30330.7</v>
      </c>
      <c r="E90">
        <v>31108.699999999997</v>
      </c>
      <c r="F90">
        <v>31627</v>
      </c>
      <c r="I90">
        <v>34669.9</v>
      </c>
      <c r="J90">
        <v>35311.300000000003</v>
      </c>
      <c r="K90">
        <v>37105.800000000003</v>
      </c>
      <c r="L90">
        <v>35872.9</v>
      </c>
      <c r="M90">
        <v>32998.800000000003</v>
      </c>
      <c r="P90">
        <v>31248.1</v>
      </c>
      <c r="Q90">
        <v>31740.799999999999</v>
      </c>
      <c r="R90">
        <v>31726</v>
      </c>
      <c r="S90">
        <v>31332.7</v>
      </c>
      <c r="T90">
        <v>30868.1</v>
      </c>
      <c r="W90">
        <v>19337.599999999999</v>
      </c>
      <c r="X90">
        <v>19976.5</v>
      </c>
      <c r="Y90">
        <v>38267.599999999999</v>
      </c>
      <c r="Z90">
        <v>40608.800000000003</v>
      </c>
      <c r="AA90">
        <v>39380.199999999997</v>
      </c>
      <c r="AD90">
        <v>18407.2</v>
      </c>
      <c r="AE90">
        <v>17564.7</v>
      </c>
      <c r="AF90">
        <v>36632</v>
      </c>
      <c r="AG90">
        <v>39144.1</v>
      </c>
      <c r="AH90">
        <v>37567.4</v>
      </c>
    </row>
    <row r="91" spans="2:34">
      <c r="B91">
        <v>30826.6</v>
      </c>
      <c r="C91">
        <v>30821.100000000002</v>
      </c>
      <c r="D91">
        <v>30652.100000000002</v>
      </c>
      <c r="E91">
        <v>30077.3</v>
      </c>
      <c r="F91">
        <v>30366.1</v>
      </c>
      <c r="I91">
        <v>34169</v>
      </c>
      <c r="J91">
        <v>32964.699999999997</v>
      </c>
      <c r="K91">
        <v>35944.1</v>
      </c>
      <c r="L91">
        <v>35394.799999999996</v>
      </c>
      <c r="M91">
        <v>33780.700000000004</v>
      </c>
      <c r="P91">
        <v>30920.2</v>
      </c>
      <c r="Q91">
        <v>30827.4</v>
      </c>
      <c r="R91">
        <v>31062.400000000001</v>
      </c>
      <c r="S91">
        <v>31485.600000000002</v>
      </c>
      <c r="T91">
        <v>31009.3</v>
      </c>
      <c r="W91">
        <v>21093.9</v>
      </c>
      <c r="X91">
        <v>19773.400000000001</v>
      </c>
      <c r="Y91">
        <v>38574.800000000003</v>
      </c>
      <c r="Z91">
        <v>41122.199999999997</v>
      </c>
      <c r="AA91">
        <v>39251.300000000003</v>
      </c>
      <c r="AD91">
        <v>21355.599999999999</v>
      </c>
      <c r="AE91">
        <v>17758.5</v>
      </c>
      <c r="AF91">
        <v>36501.5</v>
      </c>
      <c r="AG91">
        <v>40362.1</v>
      </c>
      <c r="AH91">
        <v>38117.9</v>
      </c>
    </row>
    <row r="92" spans="2:34">
      <c r="B92">
        <v>31014.5</v>
      </c>
      <c r="C92">
        <v>31113.7</v>
      </c>
      <c r="D92">
        <v>31073.3</v>
      </c>
      <c r="E92">
        <v>30402.6</v>
      </c>
      <c r="F92">
        <v>30262.2</v>
      </c>
      <c r="I92">
        <v>36051.5</v>
      </c>
      <c r="J92">
        <v>33272.199999999997</v>
      </c>
      <c r="K92">
        <v>36247.4</v>
      </c>
      <c r="L92">
        <v>32352.699999999997</v>
      </c>
      <c r="M92">
        <v>36564.9</v>
      </c>
      <c r="P92">
        <v>31111.200000000001</v>
      </c>
      <c r="Q92">
        <v>31741.200000000001</v>
      </c>
      <c r="R92">
        <v>31920.799999999999</v>
      </c>
      <c r="S92">
        <v>31325.3</v>
      </c>
      <c r="T92">
        <v>30940.6</v>
      </c>
      <c r="W92">
        <v>20589.8</v>
      </c>
      <c r="X92">
        <v>20595.400000000001</v>
      </c>
      <c r="Y92">
        <v>49085.7</v>
      </c>
      <c r="Z92">
        <v>41742.9</v>
      </c>
      <c r="AA92">
        <v>42260.3</v>
      </c>
      <c r="AD92">
        <v>18246.3</v>
      </c>
      <c r="AE92">
        <v>18714.5</v>
      </c>
      <c r="AF92">
        <v>36948.800000000003</v>
      </c>
      <c r="AG92">
        <v>41442.6</v>
      </c>
      <c r="AH92">
        <v>37597.800000000003</v>
      </c>
    </row>
    <row r="93" spans="2:34">
      <c r="B93">
        <v>30893.7</v>
      </c>
      <c r="C93">
        <v>31153.4</v>
      </c>
      <c r="D93">
        <v>32570.500000000004</v>
      </c>
      <c r="E93">
        <v>34984</v>
      </c>
      <c r="F93">
        <v>31426.600000000002</v>
      </c>
      <c r="I93">
        <v>38860.1</v>
      </c>
      <c r="J93">
        <v>33478.200000000004</v>
      </c>
      <c r="K93">
        <v>33099.800000000003</v>
      </c>
      <c r="L93">
        <v>32704.500000000004</v>
      </c>
      <c r="M93">
        <v>36742.300000000003</v>
      </c>
      <c r="P93">
        <v>37871.599999999999</v>
      </c>
      <c r="Q93">
        <v>31268.400000000001</v>
      </c>
      <c r="R93">
        <v>31049.200000000001</v>
      </c>
      <c r="S93">
        <v>31463.7</v>
      </c>
      <c r="T93">
        <v>31427.200000000001</v>
      </c>
      <c r="W93">
        <v>27026.799999999999</v>
      </c>
      <c r="X93">
        <v>28473.200000000001</v>
      </c>
      <c r="Y93">
        <v>84828.4</v>
      </c>
      <c r="Z93">
        <v>46726.1</v>
      </c>
      <c r="AA93">
        <v>45438.9</v>
      </c>
      <c r="AD93">
        <v>18819</v>
      </c>
      <c r="AE93">
        <v>18677.400000000001</v>
      </c>
      <c r="AF93">
        <v>38257.599999999999</v>
      </c>
      <c r="AG93">
        <v>40349.599999999999</v>
      </c>
      <c r="AH93">
        <v>38628.1</v>
      </c>
    </row>
    <row r="94" spans="2:34">
      <c r="B94">
        <v>31230</v>
      </c>
      <c r="C94">
        <v>31626.899999999998</v>
      </c>
      <c r="D94">
        <v>30749.4</v>
      </c>
      <c r="E94">
        <v>30821.599999999999</v>
      </c>
      <c r="F94">
        <v>31214.300000000003</v>
      </c>
      <c r="I94">
        <v>32978.699999999997</v>
      </c>
      <c r="J94">
        <v>33203.699999999997</v>
      </c>
      <c r="K94">
        <v>33206.200000000004</v>
      </c>
      <c r="L94">
        <v>36833</v>
      </c>
      <c r="M94">
        <v>32776.800000000003</v>
      </c>
      <c r="P94">
        <v>30966.799999999999</v>
      </c>
      <c r="Q94">
        <v>31425.5</v>
      </c>
      <c r="R94">
        <v>33803</v>
      </c>
      <c r="S94">
        <v>32072.699999999997</v>
      </c>
      <c r="T94">
        <v>31163.3</v>
      </c>
      <c r="W94">
        <v>23334.2</v>
      </c>
      <c r="X94">
        <v>23129.7</v>
      </c>
      <c r="Y94">
        <v>44895.7</v>
      </c>
      <c r="Z94">
        <v>45912</v>
      </c>
      <c r="AA94">
        <v>60407.4</v>
      </c>
      <c r="AD94">
        <v>18044.400000000001</v>
      </c>
      <c r="AE94">
        <v>18395.599999999999</v>
      </c>
      <c r="AF94">
        <v>37416.199999999997</v>
      </c>
      <c r="AG94">
        <v>40226.400000000001</v>
      </c>
      <c r="AH94">
        <v>41748.199999999997</v>
      </c>
    </row>
    <row r="95" spans="2:34">
      <c r="B95">
        <v>30803.1</v>
      </c>
      <c r="C95">
        <v>30294.399999999998</v>
      </c>
      <c r="D95">
        <v>30328.9</v>
      </c>
      <c r="E95">
        <v>30922.3</v>
      </c>
      <c r="F95">
        <v>31561.399999999998</v>
      </c>
      <c r="I95">
        <v>32690.6</v>
      </c>
      <c r="J95">
        <v>32915.4</v>
      </c>
      <c r="K95">
        <v>33106.800000000003</v>
      </c>
      <c r="L95">
        <v>34162.6</v>
      </c>
      <c r="M95">
        <v>31054.400000000001</v>
      </c>
      <c r="P95">
        <v>30941.5</v>
      </c>
      <c r="Q95">
        <v>32053.600000000002</v>
      </c>
      <c r="R95">
        <v>31934.799999999999</v>
      </c>
      <c r="S95">
        <v>31482.3</v>
      </c>
      <c r="T95">
        <v>31779.1</v>
      </c>
      <c r="W95">
        <v>21528</v>
      </c>
      <c r="X95">
        <v>19604.5</v>
      </c>
      <c r="Y95">
        <v>42964.6</v>
      </c>
      <c r="Z95">
        <v>41653.300000000003</v>
      </c>
      <c r="AA95">
        <v>40652.5</v>
      </c>
      <c r="AD95">
        <v>18421</v>
      </c>
      <c r="AE95">
        <v>17850.400000000001</v>
      </c>
      <c r="AF95">
        <v>37821.4</v>
      </c>
      <c r="AG95">
        <v>39217.699999999997</v>
      </c>
      <c r="AH95">
        <v>39874.800000000003</v>
      </c>
    </row>
    <row r="96" spans="2:34">
      <c r="B96">
        <v>30945</v>
      </c>
      <c r="C96">
        <v>30606.3</v>
      </c>
      <c r="D96">
        <v>31156.5</v>
      </c>
      <c r="E96">
        <v>32163.5</v>
      </c>
      <c r="F96">
        <v>32644.199999999997</v>
      </c>
      <c r="I96">
        <v>31403.7</v>
      </c>
      <c r="J96">
        <v>32945.799999999996</v>
      </c>
      <c r="K96">
        <v>37557.899999999994</v>
      </c>
      <c r="L96">
        <v>37147.699999999997</v>
      </c>
      <c r="M96">
        <v>32822.1</v>
      </c>
      <c r="P96">
        <v>31258.799999999999</v>
      </c>
      <c r="Q96">
        <v>31696.5</v>
      </c>
      <c r="R96">
        <v>31923.4</v>
      </c>
      <c r="S96">
        <v>32325.3</v>
      </c>
      <c r="T96">
        <v>31325.5</v>
      </c>
      <c r="W96">
        <v>22144.2</v>
      </c>
      <c r="X96">
        <v>23048.7</v>
      </c>
      <c r="Y96">
        <v>39497.199999999997</v>
      </c>
      <c r="Z96">
        <v>41709.5</v>
      </c>
      <c r="AA96">
        <v>42001.3</v>
      </c>
      <c r="AD96">
        <v>18633.900000000001</v>
      </c>
      <c r="AE96">
        <v>18810.8</v>
      </c>
      <c r="AF96">
        <v>38666.9</v>
      </c>
      <c r="AG96">
        <v>40168.9</v>
      </c>
      <c r="AH96">
        <v>38842.199999999997</v>
      </c>
    </row>
    <row r="97" spans="2:42">
      <c r="B97">
        <v>31707.4</v>
      </c>
      <c r="C97">
        <v>32077.399999999998</v>
      </c>
      <c r="D97">
        <v>31680.1</v>
      </c>
      <c r="E97">
        <v>30630.1</v>
      </c>
      <c r="F97">
        <v>31234.3</v>
      </c>
      <c r="I97">
        <v>32622.5</v>
      </c>
      <c r="J97">
        <v>32356.499999999996</v>
      </c>
      <c r="K97">
        <v>54861.600000000006</v>
      </c>
      <c r="L97">
        <v>34220.700000000004</v>
      </c>
      <c r="M97">
        <v>32322.2</v>
      </c>
      <c r="P97">
        <v>32145</v>
      </c>
      <c r="Q97">
        <v>31725.7</v>
      </c>
      <c r="R97">
        <v>32463.299999999996</v>
      </c>
      <c r="S97">
        <v>32213.500000000004</v>
      </c>
      <c r="T97">
        <v>31869.599999999999</v>
      </c>
      <c r="W97">
        <v>25518.9</v>
      </c>
      <c r="X97">
        <v>19143.099999999999</v>
      </c>
      <c r="Y97">
        <v>38566.400000000001</v>
      </c>
      <c r="Z97">
        <v>39345.9</v>
      </c>
      <c r="AA97">
        <v>38093.599999999999</v>
      </c>
      <c r="AD97">
        <v>18593</v>
      </c>
      <c r="AE97">
        <v>18347.599999999999</v>
      </c>
      <c r="AF97">
        <v>38739.300000000003</v>
      </c>
      <c r="AG97">
        <v>40453.199999999997</v>
      </c>
      <c r="AH97">
        <v>37796.300000000003</v>
      </c>
    </row>
    <row r="98" spans="2:42">
      <c r="B98">
        <v>31519.4</v>
      </c>
      <c r="C98">
        <v>31707.5</v>
      </c>
      <c r="D98">
        <v>32113.500000000004</v>
      </c>
      <c r="E98">
        <v>32119.999999999996</v>
      </c>
      <c r="F98">
        <v>31248.899999999998</v>
      </c>
      <c r="I98">
        <v>33115.4</v>
      </c>
      <c r="J98">
        <v>51094.2</v>
      </c>
      <c r="K98">
        <v>35132.9</v>
      </c>
      <c r="L98">
        <v>34121.1</v>
      </c>
      <c r="M98">
        <v>32501.600000000002</v>
      </c>
      <c r="P98">
        <v>30735.599999999999</v>
      </c>
      <c r="Q98">
        <v>31338.7</v>
      </c>
      <c r="R98">
        <v>30835</v>
      </c>
      <c r="S98">
        <v>32430.999999999996</v>
      </c>
      <c r="T98">
        <v>31027.4</v>
      </c>
      <c r="W98">
        <v>19326.900000000001</v>
      </c>
      <c r="X98">
        <v>19344.5</v>
      </c>
      <c r="Y98">
        <v>38290.300000000003</v>
      </c>
      <c r="Z98">
        <v>40049.4</v>
      </c>
      <c r="AA98">
        <v>38851.4</v>
      </c>
      <c r="AD98">
        <v>19922.3</v>
      </c>
      <c r="AE98">
        <v>18546.900000000001</v>
      </c>
      <c r="AF98">
        <v>38122.400000000001</v>
      </c>
      <c r="AG98">
        <v>39790</v>
      </c>
      <c r="AH98">
        <v>39228.300000000003</v>
      </c>
    </row>
    <row r="99" spans="2:42">
      <c r="B99">
        <v>31345.7</v>
      </c>
      <c r="C99">
        <v>33387.9</v>
      </c>
      <c r="D99">
        <v>32281.100000000002</v>
      </c>
      <c r="E99">
        <v>31265.599999999999</v>
      </c>
      <c r="F99">
        <v>30959.1</v>
      </c>
      <c r="I99">
        <v>33340.300000000003</v>
      </c>
      <c r="J99">
        <v>33178.699999999997</v>
      </c>
      <c r="K99">
        <v>32834.400000000001</v>
      </c>
      <c r="L99">
        <v>33789.5</v>
      </c>
      <c r="M99">
        <v>32415.300000000003</v>
      </c>
      <c r="P99">
        <v>32458.2</v>
      </c>
      <c r="Q99">
        <v>32042.6</v>
      </c>
      <c r="R99">
        <v>32271.200000000001</v>
      </c>
      <c r="S99">
        <v>38974</v>
      </c>
      <c r="T99">
        <v>34774.400000000001</v>
      </c>
      <c r="W99">
        <v>22081.3</v>
      </c>
      <c r="X99">
        <v>20034.7</v>
      </c>
      <c r="Y99">
        <v>40444.5</v>
      </c>
      <c r="Z99">
        <v>42905.9</v>
      </c>
      <c r="AA99">
        <v>57824.5</v>
      </c>
      <c r="AD99">
        <v>17889.400000000001</v>
      </c>
      <c r="AE99">
        <v>18284.7</v>
      </c>
      <c r="AF99">
        <v>37106</v>
      </c>
      <c r="AG99">
        <v>39822</v>
      </c>
      <c r="AH99">
        <v>37561.4</v>
      </c>
    </row>
    <row r="100" spans="2:42">
      <c r="B100">
        <v>30912.6</v>
      </c>
      <c r="C100">
        <v>30933.5</v>
      </c>
      <c r="D100">
        <v>30742.7</v>
      </c>
      <c r="E100">
        <v>30938.400000000001</v>
      </c>
      <c r="F100">
        <v>30532.699999999997</v>
      </c>
      <c r="I100">
        <v>32965.9</v>
      </c>
      <c r="J100">
        <v>36270.299999999996</v>
      </c>
      <c r="K100">
        <v>32768.400000000001</v>
      </c>
      <c r="L100">
        <v>34256.6</v>
      </c>
      <c r="M100">
        <v>35661.4</v>
      </c>
      <c r="P100">
        <v>31907.5</v>
      </c>
      <c r="Q100">
        <v>30845.600000000002</v>
      </c>
      <c r="R100">
        <v>32185.899999999998</v>
      </c>
      <c r="S100">
        <v>32277.700000000004</v>
      </c>
      <c r="T100">
        <v>32819.200000000004</v>
      </c>
      <c r="W100">
        <v>22673.4</v>
      </c>
      <c r="X100">
        <v>20132.7</v>
      </c>
      <c r="Y100">
        <v>41807.599999999999</v>
      </c>
      <c r="Z100">
        <v>42603.3</v>
      </c>
      <c r="AA100">
        <v>40400.699999999997</v>
      </c>
      <c r="AD100">
        <v>18435</v>
      </c>
      <c r="AE100">
        <v>18410.3</v>
      </c>
      <c r="AF100">
        <v>37739</v>
      </c>
      <c r="AG100">
        <v>39233.699999999997</v>
      </c>
      <c r="AH100">
        <v>38331.5</v>
      </c>
    </row>
    <row r="101" spans="2:42">
      <c r="B101">
        <v>31373.200000000001</v>
      </c>
      <c r="C101">
        <v>31820.5</v>
      </c>
      <c r="D101">
        <v>31493.600000000002</v>
      </c>
      <c r="E101">
        <v>30887.8</v>
      </c>
      <c r="F101">
        <v>32629.399999999998</v>
      </c>
      <c r="I101">
        <v>33215</v>
      </c>
      <c r="J101">
        <v>32326.2</v>
      </c>
      <c r="K101">
        <v>33506.5</v>
      </c>
      <c r="L101">
        <v>33942.300000000003</v>
      </c>
      <c r="M101">
        <v>32970</v>
      </c>
      <c r="P101">
        <v>31575.7</v>
      </c>
      <c r="Q101">
        <v>32119.399999999998</v>
      </c>
      <c r="R101">
        <v>33346.200000000004</v>
      </c>
      <c r="S101">
        <v>32714.7</v>
      </c>
      <c r="T101">
        <v>32146.9</v>
      </c>
      <c r="W101">
        <v>24433</v>
      </c>
      <c r="X101">
        <v>24081.599999999999</v>
      </c>
      <c r="Y101">
        <v>48703.4</v>
      </c>
      <c r="Z101">
        <v>42900.3</v>
      </c>
      <c r="AA101">
        <v>39680.1</v>
      </c>
      <c r="AD101">
        <v>17967.3</v>
      </c>
      <c r="AE101">
        <v>17663.900000000001</v>
      </c>
      <c r="AF101">
        <v>38784.199999999997</v>
      </c>
      <c r="AG101">
        <v>39880.9</v>
      </c>
      <c r="AH101">
        <v>37764</v>
      </c>
    </row>
    <row r="102" spans="2:42">
      <c r="B102">
        <v>30947</v>
      </c>
      <c r="C102">
        <v>30725.3</v>
      </c>
      <c r="D102">
        <v>30267.5</v>
      </c>
      <c r="E102">
        <v>30974.3</v>
      </c>
      <c r="F102">
        <v>30755.8</v>
      </c>
      <c r="I102">
        <v>32271.599999999999</v>
      </c>
      <c r="J102">
        <v>33852.9</v>
      </c>
      <c r="K102">
        <v>34186.199999999997</v>
      </c>
      <c r="L102">
        <v>33698.400000000001</v>
      </c>
      <c r="M102">
        <v>32747.300000000003</v>
      </c>
      <c r="P102">
        <v>33137.699999999997</v>
      </c>
      <c r="Q102">
        <v>32544.600000000002</v>
      </c>
      <c r="R102">
        <v>31312.6</v>
      </c>
      <c r="S102">
        <v>31365.4</v>
      </c>
      <c r="T102">
        <v>31205</v>
      </c>
      <c r="W102">
        <v>20949.900000000001</v>
      </c>
      <c r="X102">
        <v>22449.200000000001</v>
      </c>
      <c r="Y102">
        <v>40216.699999999997</v>
      </c>
      <c r="Z102">
        <v>50251.4</v>
      </c>
      <c r="AA102">
        <v>41878.400000000001</v>
      </c>
      <c r="AD102">
        <v>19014.7</v>
      </c>
      <c r="AE102">
        <v>17665.400000000001</v>
      </c>
      <c r="AF102">
        <v>37729.9</v>
      </c>
      <c r="AG102">
        <v>39740.6</v>
      </c>
      <c r="AH102">
        <v>38155.1</v>
      </c>
    </row>
    <row r="105" spans="2:42" ht="16" thickBot="1">
      <c r="B105" t="s">
        <v>24</v>
      </c>
      <c r="C105" s="32" t="s">
        <v>0</v>
      </c>
      <c r="D105" s="33" t="s">
        <v>1</v>
      </c>
      <c r="E105" s="33" t="s">
        <v>2</v>
      </c>
      <c r="F105" s="33" t="s">
        <v>3</v>
      </c>
      <c r="G105" s="34" t="s">
        <v>4</v>
      </c>
      <c r="I105" s="2" t="s">
        <v>24</v>
      </c>
      <c r="J105" s="19" t="s">
        <v>0</v>
      </c>
      <c r="K105" s="20" t="s">
        <v>1</v>
      </c>
      <c r="L105" s="20" t="s">
        <v>2</v>
      </c>
      <c r="M105" s="20" t="s">
        <v>3</v>
      </c>
      <c r="N105" s="35" t="s">
        <v>4</v>
      </c>
      <c r="P105" s="2" t="s">
        <v>24</v>
      </c>
      <c r="Q105" s="19" t="s">
        <v>0</v>
      </c>
      <c r="R105" s="20" t="s">
        <v>1</v>
      </c>
      <c r="S105" s="20" t="s">
        <v>2</v>
      </c>
      <c r="T105" s="20" t="s">
        <v>3</v>
      </c>
      <c r="U105" s="35" t="s">
        <v>4</v>
      </c>
      <c r="W105" s="2" t="s">
        <v>24</v>
      </c>
      <c r="X105" s="19" t="s">
        <v>0</v>
      </c>
      <c r="Y105" s="20" t="s">
        <v>1</v>
      </c>
      <c r="Z105" s="20" t="s">
        <v>2</v>
      </c>
      <c r="AA105" s="20" t="s">
        <v>3</v>
      </c>
      <c r="AB105" s="35" t="s">
        <v>4</v>
      </c>
      <c r="AD105" s="2" t="s">
        <v>24</v>
      </c>
      <c r="AE105" s="19" t="s">
        <v>0</v>
      </c>
      <c r="AF105" s="20" t="s">
        <v>1</v>
      </c>
      <c r="AG105" s="20" t="s">
        <v>2</v>
      </c>
      <c r="AH105" s="20" t="s">
        <v>3</v>
      </c>
      <c r="AI105" s="35" t="s">
        <v>4</v>
      </c>
      <c r="AK105" s="2" t="s">
        <v>24</v>
      </c>
      <c r="AL105" s="19" t="s">
        <v>0</v>
      </c>
      <c r="AM105" s="20" t="s">
        <v>1</v>
      </c>
      <c r="AN105" s="20" t="s">
        <v>2</v>
      </c>
      <c r="AO105" s="20" t="s">
        <v>3</v>
      </c>
      <c r="AP105" s="35" t="s">
        <v>4</v>
      </c>
    </row>
    <row r="106" spans="2:42" ht="16" thickTop="1">
      <c r="B106" t="s">
        <v>101</v>
      </c>
      <c r="C106">
        <f>AVERAGE(Encrypt16x256[ECB])</f>
        <v>30775.302000000003</v>
      </c>
      <c r="D106">
        <f>AVERAGE(Encrypt16x256[CBC])</f>
        <v>30892.986999999979</v>
      </c>
      <c r="E106">
        <f>AVERAGE(Encrypt16x256[OFB])</f>
        <v>30959.476000000006</v>
      </c>
      <c r="F106">
        <f>AVERAGE(Encrypt16x256[CFB])</f>
        <v>30923.732999999993</v>
      </c>
      <c r="G106">
        <f>AVERAGE(Encrypt16x256[CTR])</f>
        <v>30799.143000000007</v>
      </c>
      <c r="I106" s="5" t="s">
        <v>101</v>
      </c>
      <c r="J106">
        <f>AVERAGE(Encrypt24x256[ECB])</f>
        <v>34190.963000000011</v>
      </c>
      <c r="K106">
        <f>AVERAGE(Encrypt24x256[CBC])</f>
        <v>33476.075999999994</v>
      </c>
      <c r="L106">
        <f>AVERAGE(Encrypt24x256[OFB])</f>
        <v>34188.908999999985</v>
      </c>
      <c r="M106">
        <f>AVERAGE(Encrypt24x256[CFB])</f>
        <v>34252.75400000003</v>
      </c>
      <c r="N106">
        <f>AVERAGE(Encrypt24x256[CTR])</f>
        <v>34343.756999999998</v>
      </c>
      <c r="P106" s="5" t="s">
        <v>101</v>
      </c>
      <c r="Q106">
        <f>AVERAGE(Encrypt32x256[ECB])</f>
        <v>34416.434999999998</v>
      </c>
      <c r="R106">
        <f>AVERAGE(Encrypt32x256[CBC])</f>
        <v>34678.665999999997</v>
      </c>
      <c r="S106">
        <f>AVERAGE(Encrypt32x256[OFB])</f>
        <v>35525.190999999999</v>
      </c>
      <c r="T106">
        <f>AVERAGE(Encrypt32x256[CFB])</f>
        <v>35462.199000000001</v>
      </c>
      <c r="U106">
        <f>AVERAGE(Encrypt32x256[CTR])</f>
        <v>34766.816999999995</v>
      </c>
      <c r="W106" s="5" t="s">
        <v>101</v>
      </c>
      <c r="X106">
        <f>AVERAGE(Decrypt16x256[ECB])</f>
        <v>20611.727999999992</v>
      </c>
      <c r="Y106">
        <f>AVERAGE(Decrypt16x256[CBC])</f>
        <v>20558.079999999998</v>
      </c>
      <c r="Z106">
        <f>AVERAGE(Decrypt16x256[OFB])</f>
        <v>40192.218000000008</v>
      </c>
      <c r="AA106">
        <f>AVERAGE(Decrypt16x256[CFB])</f>
        <v>41132.458999999981</v>
      </c>
      <c r="AB106">
        <f>AVERAGE(Decrypt16x256[CTR])</f>
        <v>40136.505999999994</v>
      </c>
      <c r="AD106" s="5" t="s">
        <v>101</v>
      </c>
      <c r="AE106">
        <f>AVERAGE(Decrypt24x256[ECB])</f>
        <v>21289.267000000011</v>
      </c>
      <c r="AF106">
        <f>AVERAGE(Decrypt24x256[CBC])</f>
        <v>21170.741999999991</v>
      </c>
      <c r="AG106">
        <f>AVERAGE(Decrypt24x256[OFB])</f>
        <v>42266.344000000005</v>
      </c>
      <c r="AH106">
        <f>AVERAGE(Decrypt24x256[CFB])</f>
        <v>45469.721000000034</v>
      </c>
      <c r="AI106">
        <f>AVERAGE(Decrypt24x256[CTR])</f>
        <v>43345.697999999997</v>
      </c>
      <c r="AK106" s="5" t="s">
        <v>101</v>
      </c>
      <c r="AL106">
        <f>AVERAGE(Decrypt32x256[ECB])</f>
        <v>18046.440000000002</v>
      </c>
      <c r="AM106">
        <f>AVERAGE(Decrypt32x256[CBC])</f>
        <v>18287.77</v>
      </c>
      <c r="AN106">
        <f>AVERAGE(Decrypt32x256[OFB])</f>
        <v>38486.259999999995</v>
      </c>
      <c r="AO106">
        <f>AVERAGE(Decrypt32x256[CFB])</f>
        <v>39702.750000000007</v>
      </c>
      <c r="AP106">
        <f>AVERAGE(Decrypt32x256[CTR])</f>
        <v>38000.57</v>
      </c>
    </row>
    <row r="107" spans="2:42">
      <c r="B107" t="s">
        <v>9</v>
      </c>
      <c r="C107">
        <f>MIN(Encrypt16x256[ECB])</f>
        <v>29935.9</v>
      </c>
      <c r="D107">
        <f>MIN(Encrypt16x256[CBC])</f>
        <v>30009.599999999999</v>
      </c>
      <c r="E107">
        <f>MIN(Encrypt16x256[OFB])</f>
        <v>30116.1</v>
      </c>
      <c r="F107">
        <f>MIN(Encrypt16x256[CFB])</f>
        <v>30062.5</v>
      </c>
      <c r="G107">
        <f>MIN(Encrypt16x256[CTR])</f>
        <v>29929.300000000003</v>
      </c>
      <c r="I107" s="8" t="s">
        <v>9</v>
      </c>
      <c r="J107">
        <f>MIN(Encrypt24x256[ECB])</f>
        <v>29876.9</v>
      </c>
      <c r="K107">
        <f>MIN(Encrypt24x256[CBC])</f>
        <v>29899.100000000002</v>
      </c>
      <c r="L107">
        <f>MIN(Encrypt24x256[OFB])</f>
        <v>30096.3</v>
      </c>
      <c r="M107">
        <f>MIN(Encrypt24x256[CFB])</f>
        <v>30063.9</v>
      </c>
      <c r="N107">
        <f>MIN(Encrypt24x256[CTR])</f>
        <v>30009.399999999998</v>
      </c>
      <c r="P107" s="8" t="s">
        <v>9</v>
      </c>
      <c r="Q107">
        <f>MIN(Encrypt32x256[ECB])</f>
        <v>30698.5</v>
      </c>
      <c r="R107">
        <f>MIN(Encrypt32x256[CBC])</f>
        <v>30710.899999999998</v>
      </c>
      <c r="S107">
        <f>MIN(Encrypt32x256[OFB])</f>
        <v>30835</v>
      </c>
      <c r="T107">
        <f>MIN(Encrypt32x256[CFB])</f>
        <v>30847.200000000001</v>
      </c>
      <c r="U107">
        <f>MIN(Encrypt32x256[CTR])</f>
        <v>30675.4</v>
      </c>
      <c r="W107" s="8" t="s">
        <v>9</v>
      </c>
      <c r="X107">
        <f>MIN(Decrypt16x256[ECB])</f>
        <v>17906.099999999999</v>
      </c>
      <c r="Y107">
        <f>MIN(Decrypt16x256[CBC])</f>
        <v>17678.099999999999</v>
      </c>
      <c r="Z107">
        <f>MIN(Decrypt16x256[OFB])</f>
        <v>37372.5</v>
      </c>
      <c r="AA107">
        <f>MIN(Decrypt16x256[CFB])</f>
        <v>39002</v>
      </c>
      <c r="AB107">
        <f>MIN(Decrypt16x256[CTR])</f>
        <v>37443.199999999997</v>
      </c>
      <c r="AD107" s="8" t="s">
        <v>9</v>
      </c>
      <c r="AE107">
        <f>MIN(Decrypt24x256[ECB])</f>
        <v>17306.3</v>
      </c>
      <c r="AF107">
        <f>MIN(Decrypt24x256[CBC])</f>
        <v>17021.900000000001</v>
      </c>
      <c r="AG107">
        <f>MIN(Decrypt24x256[OFB])</f>
        <v>36379.5</v>
      </c>
      <c r="AH107">
        <f>MIN(Decrypt24x256[CFB])</f>
        <v>38894.1</v>
      </c>
      <c r="AI107">
        <f>MIN(Decrypt24x256[CTR])</f>
        <v>36682.1</v>
      </c>
      <c r="AK107" s="8" t="s">
        <v>9</v>
      </c>
      <c r="AL107">
        <f>MIN(Decrypt32x256[ECB])</f>
        <v>17056.7</v>
      </c>
      <c r="AM107">
        <f>MIN(Decrypt32x256[CBC])</f>
        <v>17562.2</v>
      </c>
      <c r="AN107">
        <f>MIN(Decrypt32x256[OFB])</f>
        <v>36217.4</v>
      </c>
      <c r="AO107">
        <f>MIN(Decrypt32x256[CFB])</f>
        <v>38498.300000000003</v>
      </c>
      <c r="AP107">
        <f>MIN(Decrypt32x256[CTR])</f>
        <v>36630.1</v>
      </c>
    </row>
    <row r="108" spans="2:42">
      <c r="B108" t="s">
        <v>10</v>
      </c>
      <c r="C108">
        <f>MAX(Encrypt16x256[ECB])</f>
        <v>34696.300000000003</v>
      </c>
      <c r="D108">
        <f>MAX(Encrypt16x256[CBC])</f>
        <v>37355.600000000006</v>
      </c>
      <c r="E108">
        <f>MAX(Encrypt16x256[OFB])</f>
        <v>32570.500000000004</v>
      </c>
      <c r="F108">
        <f>MAX(Encrypt16x256[CFB])</f>
        <v>36343.4</v>
      </c>
      <c r="G108">
        <f>MAX(Encrypt16x256[CTR])</f>
        <v>33470.400000000001</v>
      </c>
      <c r="I108" s="5" t="s">
        <v>10</v>
      </c>
      <c r="J108">
        <f>MAX(Encrypt24x256[ECB])</f>
        <v>73095.7</v>
      </c>
      <c r="K108">
        <f>MAX(Encrypt24x256[CBC])</f>
        <v>51094.2</v>
      </c>
      <c r="L108">
        <f>MAX(Encrypt24x256[OFB])</f>
        <v>54861.600000000006</v>
      </c>
      <c r="M108">
        <f>MAX(Encrypt24x256[CFB])</f>
        <v>63636.899999999994</v>
      </c>
      <c r="N108">
        <f>MAX(Encrypt24x256[CTR])</f>
        <v>51603.299999999996</v>
      </c>
      <c r="P108" s="5" t="s">
        <v>10</v>
      </c>
      <c r="Q108">
        <f>MAX(Encrypt32x256[ECB])</f>
        <v>78132.2</v>
      </c>
      <c r="R108">
        <f>MAX(Encrypt32x256[CBC])</f>
        <v>75066.5</v>
      </c>
      <c r="S108">
        <f>MAX(Encrypt32x256[OFB])</f>
        <v>187626</v>
      </c>
      <c r="T108">
        <f>MAX(Encrypt32x256[CFB])</f>
        <v>161560</v>
      </c>
      <c r="U108">
        <f>MAX(Encrypt32x256[CTR])</f>
        <v>145321</v>
      </c>
      <c r="W108" s="5" t="s">
        <v>10</v>
      </c>
      <c r="X108">
        <f>MAX(Decrypt16x256[ECB])</f>
        <v>39386.5</v>
      </c>
      <c r="Y108">
        <f>MAX(Decrypt16x256[CBC])</f>
        <v>71460.600000000006</v>
      </c>
      <c r="Z108">
        <f>MAX(Decrypt16x256[OFB])</f>
        <v>84828.4</v>
      </c>
      <c r="AA108">
        <f>MAX(Decrypt16x256[CFB])</f>
        <v>57089</v>
      </c>
      <c r="AB108">
        <f>MAX(Decrypt16x256[CTR])</f>
        <v>60407.4</v>
      </c>
      <c r="AD108" s="5" t="s">
        <v>10</v>
      </c>
      <c r="AE108">
        <f>MAX(Decrypt24x256[ECB])</f>
        <v>78748.899999999994</v>
      </c>
      <c r="AF108">
        <f>MAX(Decrypt24x256[CBC])</f>
        <v>43876.5</v>
      </c>
      <c r="AG108">
        <f>MAX(Decrypt24x256[OFB])</f>
        <v>63659.7</v>
      </c>
      <c r="AH108">
        <f>MAX(Decrypt24x256[CFB])</f>
        <v>96371.199999999997</v>
      </c>
      <c r="AI108">
        <f>MAX(Decrypt24x256[CTR])</f>
        <v>73567.399999999994</v>
      </c>
      <c r="AK108" s="5" t="s">
        <v>10</v>
      </c>
      <c r="AL108">
        <f>MAX(Decrypt32x256[ECB])</f>
        <v>19476.5</v>
      </c>
      <c r="AM108">
        <f>MAX(Decrypt32x256[CBC])</f>
        <v>19662.7</v>
      </c>
      <c r="AN108">
        <f>MAX(Decrypt32x256[OFB])</f>
        <v>43328.2</v>
      </c>
      <c r="AO108">
        <f>MAX(Decrypt32x256[CFB])</f>
        <v>42343.199999999997</v>
      </c>
      <c r="AP108">
        <f>MAX(Decrypt32x256[CTR])</f>
        <v>39906.9</v>
      </c>
    </row>
    <row r="109" spans="2:42">
      <c r="B109" t="s">
        <v>8</v>
      </c>
      <c r="C109">
        <f>MEDIAN(Encrypt16x256[ECB])</f>
        <v>30618.199999999997</v>
      </c>
      <c r="D109">
        <f>MEDIAN(Encrypt16x256[CBC])</f>
        <v>30640.15</v>
      </c>
      <c r="E109">
        <f>MEDIAN(Encrypt16x256[OFB])</f>
        <v>30851.15</v>
      </c>
      <c r="F109">
        <f>MEDIAN(Encrypt16x256[CFB])</f>
        <v>30695.1</v>
      </c>
      <c r="G109">
        <f>MEDIAN(Encrypt16x256[CTR])</f>
        <v>30602.6</v>
      </c>
      <c r="I109" s="8" t="s">
        <v>8</v>
      </c>
      <c r="J109">
        <f>MEDIAN(Encrypt24x256[ECB])</f>
        <v>32678.55</v>
      </c>
      <c r="K109">
        <f>MEDIAN(Encrypt24x256[CBC])</f>
        <v>32844.35</v>
      </c>
      <c r="L109">
        <f>MEDIAN(Encrypt24x256[OFB])</f>
        <v>33129.35</v>
      </c>
      <c r="M109">
        <f>MEDIAN(Encrypt24x256[CFB])</f>
        <v>32954.600000000006</v>
      </c>
      <c r="N109">
        <f>MEDIAN(Encrypt24x256[CTR])</f>
        <v>32502.100000000002</v>
      </c>
      <c r="P109" s="8" t="s">
        <v>8</v>
      </c>
      <c r="Q109">
        <f>MEDIAN(Encrypt32x256[ECB])</f>
        <v>32371.65</v>
      </c>
      <c r="R109">
        <f>MEDIAN(Encrypt32x256[CBC])</f>
        <v>32676.5</v>
      </c>
      <c r="S109">
        <f>MEDIAN(Encrypt32x256[OFB])</f>
        <v>32732.800000000003</v>
      </c>
      <c r="T109">
        <f>MEDIAN(Encrypt32x256[CFB])</f>
        <v>32642.95</v>
      </c>
      <c r="U109">
        <f>MEDIAN(Encrypt32x256[CTR])</f>
        <v>32379.599999999999</v>
      </c>
      <c r="W109" s="8" t="s">
        <v>8</v>
      </c>
      <c r="X109">
        <f>MEDIAN(Decrypt16x256[ECB])</f>
        <v>19718.650000000001</v>
      </c>
      <c r="Y109">
        <f>MEDIAN(Decrypt16x256[CBC])</f>
        <v>19202.650000000001</v>
      </c>
      <c r="Z109">
        <f>MEDIAN(Decrypt16x256[OFB])</f>
        <v>38461.199999999997</v>
      </c>
      <c r="AA109">
        <f>MEDIAN(Decrypt16x256[CFB])</f>
        <v>40251.800000000003</v>
      </c>
      <c r="AB109">
        <f>MEDIAN(Decrypt16x256[CTR])</f>
        <v>38712.699999999997</v>
      </c>
      <c r="AD109" s="8" t="s">
        <v>8</v>
      </c>
      <c r="AE109">
        <f>MEDIAN(Decrypt24x256[ECB])</f>
        <v>20025.449999999997</v>
      </c>
      <c r="AF109">
        <f>MEDIAN(Decrypt24x256[CBC])</f>
        <v>19691.7</v>
      </c>
      <c r="AG109">
        <f>MEDIAN(Decrypt24x256[OFB])</f>
        <v>40055.65</v>
      </c>
      <c r="AH109">
        <f>MEDIAN(Decrypt24x256[CFB])</f>
        <v>43647.1</v>
      </c>
      <c r="AI109">
        <f>MEDIAN(Decrypt24x256[CTR])</f>
        <v>40513.199999999997</v>
      </c>
      <c r="AK109" s="8" t="s">
        <v>8</v>
      </c>
      <c r="AL109">
        <f>MEDIAN(Decrypt32x256[ECB])</f>
        <v>18076.650000000001</v>
      </c>
      <c r="AM109">
        <f>MEDIAN(Decrypt32x256[CBC])</f>
        <v>18178.5</v>
      </c>
      <c r="AN109">
        <f>MEDIAN(Decrypt32x256[OFB])</f>
        <v>37419.4</v>
      </c>
      <c r="AO109">
        <f>MEDIAN(Decrypt32x256[CFB])</f>
        <v>39266.550000000003</v>
      </c>
      <c r="AP109">
        <f>MEDIAN(Decrypt32x256[CTR])</f>
        <v>37587.300000000003</v>
      </c>
    </row>
    <row r="110" spans="2:42">
      <c r="B110" s="16" t="s">
        <v>92</v>
      </c>
      <c r="C110" s="16">
        <f>256000/C106</f>
        <v>8.3183586630603976</v>
      </c>
      <c r="D110" s="16">
        <f t="shared" ref="D110:G110" si="0">256000/D106</f>
        <v>8.2866703695566954</v>
      </c>
      <c r="E110" s="16">
        <f t="shared" si="0"/>
        <v>8.2688738013524503</v>
      </c>
      <c r="F110" s="16">
        <f t="shared" si="0"/>
        <v>8.2784313265154648</v>
      </c>
      <c r="G110" s="16">
        <f t="shared" si="0"/>
        <v>8.3119195881521755</v>
      </c>
      <c r="I110" s="46" t="s">
        <v>92</v>
      </c>
      <c r="J110" s="16">
        <f>256000/J106</f>
        <v>7.4873585748374483</v>
      </c>
      <c r="K110" s="16">
        <f t="shared" ref="K110:N110" si="1">256000/K106</f>
        <v>7.6472523243166268</v>
      </c>
      <c r="L110" s="16">
        <f t="shared" si="1"/>
        <v>7.4878084000867098</v>
      </c>
      <c r="M110" s="16">
        <f t="shared" si="1"/>
        <v>7.47385159161216</v>
      </c>
      <c r="N110" s="16">
        <f t="shared" si="1"/>
        <v>7.4540476162814686</v>
      </c>
      <c r="P110" s="46" t="s">
        <v>92</v>
      </c>
      <c r="Q110" s="16">
        <f>256000/Q106</f>
        <v>7.4383067275852373</v>
      </c>
      <c r="R110" s="16">
        <f t="shared" ref="R110:U110" si="2">256000/R106</f>
        <v>7.3820601980479879</v>
      </c>
      <c r="S110" s="16">
        <f t="shared" si="2"/>
        <v>7.2061540781019309</v>
      </c>
      <c r="T110" s="16">
        <f t="shared" si="2"/>
        <v>7.2189544703643449</v>
      </c>
      <c r="U110" s="16">
        <f t="shared" si="2"/>
        <v>7.3633430405780329</v>
      </c>
      <c r="W110" s="46" t="s">
        <v>92</v>
      </c>
      <c r="X110" s="16">
        <f>256000/X106</f>
        <v>12.420113442211157</v>
      </c>
      <c r="Y110" s="16">
        <f t="shared" ref="Y110:AB110" si="3">256000/Y106</f>
        <v>12.452524749392941</v>
      </c>
      <c r="Z110" s="16">
        <f t="shared" si="3"/>
        <v>6.3693922042321711</v>
      </c>
      <c r="AA110" s="16">
        <f t="shared" si="3"/>
        <v>6.2237951784015664</v>
      </c>
      <c r="AB110" s="16">
        <f t="shared" si="3"/>
        <v>6.3782333220534948</v>
      </c>
      <c r="AD110" s="46" t="s">
        <v>92</v>
      </c>
      <c r="AE110" s="16">
        <f>256000/AE106</f>
        <v>12.024838619385058</v>
      </c>
      <c r="AF110" s="16">
        <f t="shared" ref="AF110:AI110" si="4">256000/AF106</f>
        <v>12.092160019710226</v>
      </c>
      <c r="AG110" s="16">
        <f t="shared" si="4"/>
        <v>6.0568285726345286</v>
      </c>
      <c r="AH110" s="16">
        <f t="shared" si="4"/>
        <v>5.6301203167707978</v>
      </c>
      <c r="AI110" s="16">
        <f t="shared" si="4"/>
        <v>5.9060070967134966</v>
      </c>
      <c r="AK110" s="46" t="s">
        <v>92</v>
      </c>
      <c r="AL110" s="16">
        <f>256000/AL106</f>
        <v>14.185623314071915</v>
      </c>
      <c r="AM110" s="16">
        <f t="shared" ref="AM110:AP110" si="5">256000/AM106</f>
        <v>13.998426270671601</v>
      </c>
      <c r="AN110" s="16">
        <f t="shared" si="5"/>
        <v>6.6517245375362544</v>
      </c>
      <c r="AO110" s="16">
        <f t="shared" si="5"/>
        <v>6.4479160763423176</v>
      </c>
      <c r="AP110" s="16">
        <f t="shared" si="5"/>
        <v>6.7367410541473456</v>
      </c>
    </row>
  </sheetData>
  <pageMargins left="0.75" right="0.75" top="1" bottom="1" header="0.5" footer="0.5"/>
  <pageSetup paperSize="9" orientation="portrait" horizontalDpi="4294967292" verticalDpi="4294967292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"/>
  <sheetViews>
    <sheetView workbookViewId="0">
      <selection activeCell="M20" sqref="M20"/>
    </sheetView>
  </sheetViews>
  <sheetFormatPr baseColWidth="10" defaultRowHeight="15" x14ac:dyDescent="0"/>
  <cols>
    <col min="2" max="2" width="15.1640625" bestFit="1" customWidth="1"/>
    <col min="12" max="14" width="11.5" customWidth="1"/>
  </cols>
  <sheetData>
    <row r="1" spans="1:20">
      <c r="A1" s="49" t="s">
        <v>62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</row>
    <row r="2" spans="1:20" ht="16" thickBot="1">
      <c r="A2" t="s">
        <v>7</v>
      </c>
      <c r="B2" t="s">
        <v>39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86</v>
      </c>
      <c r="J2" t="s">
        <v>87</v>
      </c>
      <c r="K2" t="s">
        <v>88</v>
      </c>
      <c r="L2" t="s">
        <v>89</v>
      </c>
      <c r="M2" t="s">
        <v>90</v>
      </c>
      <c r="N2" t="s">
        <v>91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</row>
    <row r="3" spans="1:20" ht="17" thickTop="1" thickBot="1">
      <c r="A3" t="s">
        <v>1</v>
      </c>
      <c r="B3" t="s">
        <v>29</v>
      </c>
      <c r="C3">
        <v>64</v>
      </c>
      <c r="D3">
        <v>64</v>
      </c>
      <c r="E3">
        <v>64</v>
      </c>
      <c r="F3">
        <v>96</v>
      </c>
      <c r="G3">
        <v>96</v>
      </c>
      <c r="H3">
        <v>96</v>
      </c>
      <c r="I3" s="36">
        <v>2097184</v>
      </c>
      <c r="J3" s="36">
        <v>2097184</v>
      </c>
      <c r="K3" s="36">
        <v>2097184</v>
      </c>
      <c r="L3" s="36">
        <v>10485792</v>
      </c>
      <c r="M3" s="36">
        <v>10485792</v>
      </c>
      <c r="N3" s="36">
        <v>10485792</v>
      </c>
      <c r="O3">
        <v>20971552</v>
      </c>
      <c r="P3">
        <v>20971552</v>
      </c>
      <c r="Q3">
        <v>20971552</v>
      </c>
      <c r="R3">
        <v>536870944</v>
      </c>
      <c r="S3">
        <v>536870944</v>
      </c>
      <c r="T3">
        <v>536870944</v>
      </c>
    </row>
    <row r="4" spans="1:20" ht="17" thickTop="1" thickBot="1">
      <c r="A4" t="s">
        <v>3</v>
      </c>
      <c r="B4" t="s">
        <v>30</v>
      </c>
      <c r="C4">
        <v>32</v>
      </c>
      <c r="D4">
        <v>32</v>
      </c>
      <c r="E4">
        <v>32</v>
      </c>
      <c r="F4">
        <v>64</v>
      </c>
      <c r="G4">
        <v>64</v>
      </c>
      <c r="H4">
        <v>64</v>
      </c>
      <c r="I4" s="36">
        <v>2097152</v>
      </c>
      <c r="J4" s="36">
        <v>2097152</v>
      </c>
      <c r="K4" s="36">
        <v>2097152</v>
      </c>
      <c r="L4" s="36">
        <v>10485760</v>
      </c>
      <c r="M4" s="36">
        <v>10485760</v>
      </c>
      <c r="N4" s="36">
        <v>10485760</v>
      </c>
      <c r="O4">
        <v>20971520</v>
      </c>
      <c r="P4">
        <v>20971520</v>
      </c>
      <c r="Q4">
        <v>20971520</v>
      </c>
      <c r="R4">
        <v>536870912</v>
      </c>
      <c r="S4">
        <v>536870912</v>
      </c>
      <c r="T4">
        <v>536870912</v>
      </c>
    </row>
    <row r="5" spans="1:20" ht="17" thickTop="1" thickBot="1">
      <c r="A5" t="s">
        <v>4</v>
      </c>
      <c r="B5" t="s">
        <v>31</v>
      </c>
      <c r="C5">
        <v>32</v>
      </c>
      <c r="D5">
        <v>32</v>
      </c>
      <c r="E5">
        <v>32</v>
      </c>
      <c r="F5">
        <v>64</v>
      </c>
      <c r="G5">
        <v>64</v>
      </c>
      <c r="H5">
        <v>64</v>
      </c>
      <c r="I5" s="36">
        <v>2097152</v>
      </c>
      <c r="J5" s="36">
        <v>2097152</v>
      </c>
      <c r="K5" s="36">
        <v>2097152</v>
      </c>
      <c r="L5" s="36">
        <v>10485760</v>
      </c>
      <c r="M5" s="36">
        <v>10485760</v>
      </c>
      <c r="N5" s="36">
        <v>10485760</v>
      </c>
      <c r="O5">
        <v>20971520</v>
      </c>
      <c r="P5">
        <v>20971520</v>
      </c>
      <c r="Q5">
        <v>20971520</v>
      </c>
      <c r="R5">
        <v>536870912</v>
      </c>
      <c r="S5">
        <v>536870912</v>
      </c>
      <c r="T5">
        <v>536870912</v>
      </c>
    </row>
    <row r="6" spans="1:20" ht="17" thickTop="1" thickBot="1">
      <c r="A6" t="s">
        <v>0</v>
      </c>
      <c r="B6" t="s">
        <v>32</v>
      </c>
      <c r="C6">
        <v>64</v>
      </c>
      <c r="D6">
        <v>64</v>
      </c>
      <c r="E6">
        <v>64</v>
      </c>
      <c r="F6">
        <v>96</v>
      </c>
      <c r="G6">
        <v>96</v>
      </c>
      <c r="H6">
        <v>96</v>
      </c>
      <c r="I6" s="36">
        <v>2097152</v>
      </c>
      <c r="J6" s="36">
        <v>2097152</v>
      </c>
      <c r="K6" s="36">
        <v>2097152</v>
      </c>
      <c r="L6" s="36">
        <v>10485792</v>
      </c>
      <c r="M6" s="36">
        <v>10485792</v>
      </c>
      <c r="N6" s="36">
        <v>10485792</v>
      </c>
      <c r="O6">
        <v>20971552</v>
      </c>
      <c r="P6">
        <v>20971552</v>
      </c>
      <c r="Q6">
        <v>20971552</v>
      </c>
      <c r="R6">
        <v>536870944</v>
      </c>
      <c r="S6">
        <v>536870944</v>
      </c>
      <c r="T6">
        <v>536870944</v>
      </c>
    </row>
    <row r="7" spans="1:20" ht="16" thickTop="1">
      <c r="A7" t="s">
        <v>2</v>
      </c>
      <c r="B7" t="s">
        <v>33</v>
      </c>
      <c r="C7">
        <v>32</v>
      </c>
      <c r="D7">
        <v>32</v>
      </c>
      <c r="E7">
        <v>32</v>
      </c>
      <c r="F7">
        <v>64</v>
      </c>
      <c r="G7">
        <v>64</v>
      </c>
      <c r="H7">
        <v>64</v>
      </c>
      <c r="I7" s="36">
        <v>2097184</v>
      </c>
      <c r="J7" s="36">
        <v>2097184</v>
      </c>
      <c r="K7" s="36">
        <v>2097184</v>
      </c>
      <c r="L7" s="36">
        <v>10485760</v>
      </c>
      <c r="M7" s="36">
        <v>10485760</v>
      </c>
      <c r="N7" s="36">
        <v>10485760</v>
      </c>
      <c r="O7">
        <v>20971520</v>
      </c>
      <c r="P7">
        <v>20971520</v>
      </c>
      <c r="Q7">
        <v>20971520</v>
      </c>
      <c r="R7">
        <v>536870912</v>
      </c>
      <c r="S7">
        <v>536870912</v>
      </c>
      <c r="T7">
        <v>536870912</v>
      </c>
    </row>
    <row r="12" spans="1:20">
      <c r="A12" s="49" t="s">
        <v>61</v>
      </c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</row>
    <row r="13" spans="1:20">
      <c r="A13" t="s">
        <v>54</v>
      </c>
      <c r="B13" t="s">
        <v>39</v>
      </c>
      <c r="C13" t="s">
        <v>55</v>
      </c>
      <c r="D13" t="s">
        <v>56</v>
      </c>
      <c r="E13" t="s">
        <v>57</v>
      </c>
      <c r="F13" t="s">
        <v>58</v>
      </c>
      <c r="G13" t="s">
        <v>59</v>
      </c>
      <c r="H13" t="s">
        <v>60</v>
      </c>
      <c r="I13" t="s">
        <v>86</v>
      </c>
      <c r="J13" t="s">
        <v>87</v>
      </c>
      <c r="K13" t="s">
        <v>88</v>
      </c>
      <c r="L13" t="s">
        <v>89</v>
      </c>
      <c r="M13" t="s">
        <v>90</v>
      </c>
      <c r="N13" t="s">
        <v>91</v>
      </c>
      <c r="O13" t="s">
        <v>48</v>
      </c>
      <c r="P13" t="s">
        <v>49</v>
      </c>
      <c r="Q13" t="s">
        <v>50</v>
      </c>
      <c r="R13" t="s">
        <v>51</v>
      </c>
      <c r="S13" t="s">
        <v>52</v>
      </c>
      <c r="T13" t="s">
        <v>53</v>
      </c>
    </row>
    <row r="14" spans="1:20">
      <c r="A14" t="s">
        <v>1</v>
      </c>
      <c r="B14" t="s">
        <v>34</v>
      </c>
      <c r="C14">
        <v>16</v>
      </c>
      <c r="D14">
        <v>16</v>
      </c>
      <c r="E14">
        <v>16</v>
      </c>
      <c r="F14">
        <v>32</v>
      </c>
      <c r="G14">
        <v>32</v>
      </c>
      <c r="H14">
        <v>32</v>
      </c>
      <c r="I14">
        <v>1048576</v>
      </c>
      <c r="J14">
        <v>1048576</v>
      </c>
      <c r="K14">
        <v>1048576</v>
      </c>
      <c r="L14">
        <v>5242880</v>
      </c>
      <c r="M14">
        <v>5242880</v>
      </c>
      <c r="N14">
        <v>5242880</v>
      </c>
      <c r="O14">
        <v>10485760</v>
      </c>
      <c r="P14">
        <v>10485760</v>
      </c>
      <c r="Q14">
        <v>10485760</v>
      </c>
      <c r="R14">
        <v>268435456</v>
      </c>
      <c r="S14">
        <v>268435456</v>
      </c>
      <c r="T14">
        <v>268435456</v>
      </c>
    </row>
    <row r="15" spans="1:20">
      <c r="A15" t="s">
        <v>3</v>
      </c>
      <c r="B15" t="s">
        <v>35</v>
      </c>
      <c r="C15">
        <v>16</v>
      </c>
      <c r="D15">
        <v>16</v>
      </c>
      <c r="E15">
        <v>16</v>
      </c>
      <c r="F15">
        <v>32</v>
      </c>
      <c r="G15">
        <v>32</v>
      </c>
      <c r="H15">
        <v>32</v>
      </c>
      <c r="I15">
        <v>1048576</v>
      </c>
      <c r="J15">
        <v>1048576</v>
      </c>
      <c r="K15">
        <v>1048576</v>
      </c>
      <c r="L15">
        <v>5242880</v>
      </c>
      <c r="M15">
        <v>5242880</v>
      </c>
      <c r="N15">
        <v>5242880</v>
      </c>
      <c r="O15">
        <v>10485760</v>
      </c>
      <c r="P15">
        <v>10485760</v>
      </c>
      <c r="Q15">
        <v>10485760</v>
      </c>
      <c r="R15">
        <v>268435456</v>
      </c>
      <c r="S15">
        <v>268435456</v>
      </c>
      <c r="T15">
        <v>268435456</v>
      </c>
    </row>
    <row r="16" spans="1:20">
      <c r="A16" t="s">
        <v>4</v>
      </c>
      <c r="B16" t="s">
        <v>36</v>
      </c>
      <c r="C16">
        <v>16</v>
      </c>
      <c r="D16">
        <v>16</v>
      </c>
      <c r="E16">
        <v>16</v>
      </c>
      <c r="F16">
        <v>32</v>
      </c>
      <c r="G16">
        <v>32</v>
      </c>
      <c r="H16">
        <v>32</v>
      </c>
      <c r="I16">
        <v>1048576</v>
      </c>
      <c r="J16">
        <v>1048576</v>
      </c>
      <c r="K16">
        <v>1048576</v>
      </c>
      <c r="L16">
        <v>5242880</v>
      </c>
      <c r="M16">
        <v>5242880</v>
      </c>
      <c r="N16">
        <v>5242880</v>
      </c>
      <c r="O16">
        <v>10485760</v>
      </c>
      <c r="P16">
        <v>10485760</v>
      </c>
      <c r="Q16">
        <v>10485760</v>
      </c>
      <c r="R16">
        <v>268435456</v>
      </c>
      <c r="S16">
        <v>268435456</v>
      </c>
      <c r="T16">
        <v>268435456</v>
      </c>
    </row>
    <row r="17" spans="1:20">
      <c r="A17" t="s">
        <v>0</v>
      </c>
      <c r="B17" t="s">
        <v>37</v>
      </c>
      <c r="C17">
        <v>16</v>
      </c>
      <c r="D17">
        <v>16</v>
      </c>
      <c r="E17">
        <v>16</v>
      </c>
      <c r="F17">
        <v>32</v>
      </c>
      <c r="G17">
        <v>32</v>
      </c>
      <c r="H17">
        <v>32</v>
      </c>
      <c r="I17">
        <v>1048576</v>
      </c>
      <c r="J17">
        <v>1048576</v>
      </c>
      <c r="K17">
        <v>1048576</v>
      </c>
      <c r="L17">
        <v>5242880</v>
      </c>
      <c r="M17">
        <v>5242880</v>
      </c>
      <c r="N17">
        <v>5242880</v>
      </c>
      <c r="O17">
        <v>10485760</v>
      </c>
      <c r="P17">
        <v>10485760</v>
      </c>
      <c r="Q17">
        <v>10485760</v>
      </c>
      <c r="R17">
        <v>268435456</v>
      </c>
      <c r="S17">
        <v>268435456</v>
      </c>
      <c r="T17">
        <v>268435456</v>
      </c>
    </row>
    <row r="18" spans="1:20">
      <c r="A18" t="s">
        <v>2</v>
      </c>
      <c r="B18" t="s">
        <v>38</v>
      </c>
      <c r="C18">
        <v>16</v>
      </c>
      <c r="D18">
        <v>16</v>
      </c>
      <c r="E18">
        <v>16</v>
      </c>
      <c r="F18">
        <v>32</v>
      </c>
      <c r="G18">
        <v>32</v>
      </c>
      <c r="H18">
        <v>32</v>
      </c>
      <c r="I18">
        <v>1048576</v>
      </c>
      <c r="J18">
        <v>1048576</v>
      </c>
      <c r="K18">
        <v>1048576</v>
      </c>
      <c r="L18">
        <v>5242880</v>
      </c>
      <c r="M18">
        <v>5242880</v>
      </c>
      <c r="N18">
        <v>5242880</v>
      </c>
      <c r="O18">
        <v>10485760</v>
      </c>
      <c r="P18">
        <v>10485760</v>
      </c>
      <c r="Q18">
        <v>10485760</v>
      </c>
      <c r="R18">
        <v>268435456</v>
      </c>
      <c r="S18">
        <v>268435456</v>
      </c>
      <c r="T18">
        <v>268435456</v>
      </c>
    </row>
    <row r="20" spans="1:20">
      <c r="J20" s="37"/>
    </row>
    <row r="21" spans="1:20">
      <c r="I21" s="37"/>
      <c r="J21" s="37"/>
    </row>
  </sheetData>
  <mergeCells count="2">
    <mergeCell ref="A1:N1"/>
    <mergeCell ref="A12:N12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opLeftCell="A91" workbookViewId="0">
      <selection activeCell="J119" sqref="J119"/>
    </sheetView>
  </sheetViews>
  <sheetFormatPr baseColWidth="10" defaultRowHeight="15" x14ac:dyDescent="0"/>
  <sheetData>
    <row r="1" spans="1:2">
      <c r="A1" t="s">
        <v>26</v>
      </c>
      <c r="B1">
        <v>2</v>
      </c>
    </row>
    <row r="2" spans="1:2">
      <c r="A2" t="s">
        <v>25</v>
      </c>
      <c r="B2">
        <v>3</v>
      </c>
    </row>
    <row r="3" spans="1:2">
      <c r="A3" t="s">
        <v>27</v>
      </c>
      <c r="B3">
        <v>4</v>
      </c>
    </row>
    <row r="4" spans="1:2">
      <c r="A4" t="s">
        <v>28</v>
      </c>
      <c r="B4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Roll Up Tables</vt:lpstr>
      <vt:lpstr>Encryption Summary Table</vt:lpstr>
      <vt:lpstr>Decryption Summary Table</vt:lpstr>
      <vt:lpstr>Input Size per Mode</vt:lpstr>
      <vt:lpstr>Key Size per Mode</vt:lpstr>
      <vt:lpstr>Key Size per Input Size</vt:lpstr>
      <vt:lpstr>1M_File</vt:lpstr>
      <vt:lpstr>5M_File</vt:lpstr>
      <vt:lpstr>10M_File</vt:lpstr>
      <vt:lpstr>256M_File</vt:lpstr>
      <vt:lpstr>File_Sizes</vt:lpstr>
      <vt:lpstr>HIDDEN</vt:lpstr>
    </vt:vector>
  </TitlesOfParts>
  <Company>SAIC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Phillips</dc:creator>
  <cp:lastModifiedBy>Jeff Phillips</cp:lastModifiedBy>
  <dcterms:created xsi:type="dcterms:W3CDTF">2013-08-10T10:12:51Z</dcterms:created>
  <dcterms:modified xsi:type="dcterms:W3CDTF">2013-08-18T15:31:57Z</dcterms:modified>
</cp:coreProperties>
</file>