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tables/table73.xml" ContentType="application/vnd.openxmlformats-officedocument.spreadsheetml.table+xml"/>
  <Override PartName="/xl/tables/table74.xml" ContentType="application/vnd.openxmlformats-officedocument.spreadsheetml.table+xml"/>
  <Override PartName="/xl/tables/table75.xml" ContentType="application/vnd.openxmlformats-officedocument.spreadsheetml.table+xml"/>
  <Override PartName="/xl/tables/table76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613"/>
  <workbookPr showInkAnnotation="0" hidePivotFieldList="1" autoCompressPictures="0"/>
  <bookViews>
    <workbookView xWindow="1260" yWindow="900" windowWidth="38400" windowHeight="18740" tabRatio="500" activeTab="3"/>
  </bookViews>
  <sheets>
    <sheet name="Summary" sheetId="3" r:id="rId1"/>
    <sheet name="Input Size per Mode" sheetId="10" r:id="rId2"/>
    <sheet name="Key Size per Mode" sheetId="12" r:id="rId3"/>
    <sheet name="Key Size per Input Size" sheetId="13" r:id="rId4"/>
    <sheet name="1M_File" sheetId="1" r:id="rId5"/>
    <sheet name="5M_File" sheetId="2" r:id="rId6"/>
    <sheet name="10M_File" sheetId="4" r:id="rId7"/>
    <sheet name="256M_File" sheetId="5" r:id="rId8"/>
    <sheet name="File_Sizes" sheetId="9" r:id="rId9"/>
    <sheet name="HIDDEN" sheetId="7" r:id="rId10"/>
    <sheet name="Sheet2" sheetId="16" r:id="rId11"/>
    <sheet name="16B_File (2)" sheetId="17" r:id="rId12"/>
    <sheet name="32B_File (2)" sheetId="18" r:id="rId13"/>
  </sheets>
  <definedNames>
    <definedName name="AVG">HIDDEN!$B$1</definedName>
    <definedName name="Encrypt_Summary">Summary!$A$2:$J$62</definedName>
    <definedName name="MAX">HIDDEN!$B$3</definedName>
    <definedName name="MED">HIDDEN!$B$4</definedName>
    <definedName name="MIN">HIDDEN!$B$2</definedName>
  </definedNames>
  <calcPr calcId="140000" concurrentCalc="0"/>
  <pivotCaches>
    <pivotCache cacheId="37" r:id="rId14"/>
    <pivotCache cacheId="42" r:id="rId15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O109" i="18" l="1"/>
  <c r="AN109" i="18"/>
  <c r="AM109" i="18"/>
  <c r="AL109" i="18"/>
  <c r="AK109" i="18"/>
  <c r="AH109" i="18"/>
  <c r="AG109" i="18"/>
  <c r="AF109" i="18"/>
  <c r="AE109" i="18"/>
  <c r="AD109" i="18"/>
  <c r="AA109" i="18"/>
  <c r="Z109" i="18"/>
  <c r="Y109" i="18"/>
  <c r="X109" i="18"/>
  <c r="W109" i="18"/>
  <c r="T109" i="18"/>
  <c r="S109" i="18"/>
  <c r="R109" i="18"/>
  <c r="Q109" i="18"/>
  <c r="P109" i="18"/>
  <c r="M109" i="18"/>
  <c r="L109" i="18"/>
  <c r="K109" i="18"/>
  <c r="J109" i="18"/>
  <c r="I109" i="18"/>
  <c r="F109" i="18"/>
  <c r="E109" i="18"/>
  <c r="D109" i="18"/>
  <c r="C109" i="18"/>
  <c r="B109" i="18"/>
  <c r="AO108" i="18"/>
  <c r="AN108" i="18"/>
  <c r="AM108" i="18"/>
  <c r="AL108" i="18"/>
  <c r="AK108" i="18"/>
  <c r="AH108" i="18"/>
  <c r="AG108" i="18"/>
  <c r="AF108" i="18"/>
  <c r="AE108" i="18"/>
  <c r="AD108" i="18"/>
  <c r="AA108" i="18"/>
  <c r="Z108" i="18"/>
  <c r="Y108" i="18"/>
  <c r="X108" i="18"/>
  <c r="W108" i="18"/>
  <c r="T108" i="18"/>
  <c r="S108" i="18"/>
  <c r="R108" i="18"/>
  <c r="Q108" i="18"/>
  <c r="P108" i="18"/>
  <c r="M108" i="18"/>
  <c r="L108" i="18"/>
  <c r="K108" i="18"/>
  <c r="J108" i="18"/>
  <c r="I108" i="18"/>
  <c r="F108" i="18"/>
  <c r="E108" i="18"/>
  <c r="D108" i="18"/>
  <c r="C108" i="18"/>
  <c r="B108" i="18"/>
  <c r="AO107" i="18"/>
  <c r="AN107" i="18"/>
  <c r="AM107" i="18"/>
  <c r="AL107" i="18"/>
  <c r="AK107" i="18"/>
  <c r="AH107" i="18"/>
  <c r="AG107" i="18"/>
  <c r="AF107" i="18"/>
  <c r="AE107" i="18"/>
  <c r="AD107" i="18"/>
  <c r="AA107" i="18"/>
  <c r="Z107" i="18"/>
  <c r="Y107" i="18"/>
  <c r="X107" i="18"/>
  <c r="W107" i="18"/>
  <c r="T107" i="18"/>
  <c r="S107" i="18"/>
  <c r="R107" i="18"/>
  <c r="Q107" i="18"/>
  <c r="P107" i="18"/>
  <c r="M107" i="18"/>
  <c r="L107" i="18"/>
  <c r="K107" i="18"/>
  <c r="J107" i="18"/>
  <c r="I107" i="18"/>
  <c r="F107" i="18"/>
  <c r="E107" i="18"/>
  <c r="D107" i="18"/>
  <c r="C107" i="18"/>
  <c r="B107" i="18"/>
  <c r="AO106" i="18"/>
  <c r="AN106" i="18"/>
  <c r="AM106" i="18"/>
  <c r="AL106" i="18"/>
  <c r="AK106" i="18"/>
  <c r="AH106" i="18"/>
  <c r="AG106" i="18"/>
  <c r="AF106" i="18"/>
  <c r="AE106" i="18"/>
  <c r="AD106" i="18"/>
  <c r="AA106" i="18"/>
  <c r="Z106" i="18"/>
  <c r="Y106" i="18"/>
  <c r="X106" i="18"/>
  <c r="W106" i="18"/>
  <c r="T106" i="18"/>
  <c r="S106" i="18"/>
  <c r="R106" i="18"/>
  <c r="Q106" i="18"/>
  <c r="P106" i="18"/>
  <c r="M106" i="18"/>
  <c r="L106" i="18"/>
  <c r="K106" i="18"/>
  <c r="J106" i="18"/>
  <c r="I106" i="18"/>
  <c r="F106" i="18"/>
  <c r="E106" i="18"/>
  <c r="D106" i="18"/>
  <c r="C106" i="18"/>
  <c r="B106" i="18"/>
  <c r="AO109" i="17"/>
  <c r="AN109" i="17"/>
  <c r="AM109" i="17"/>
  <c r="AL109" i="17"/>
  <c r="AK109" i="17"/>
  <c r="AH109" i="17"/>
  <c r="AG109" i="17"/>
  <c r="AF109" i="17"/>
  <c r="AE109" i="17"/>
  <c r="AD109" i="17"/>
  <c r="AA109" i="17"/>
  <c r="Z109" i="17"/>
  <c r="Y109" i="17"/>
  <c r="X109" i="17"/>
  <c r="W109" i="17"/>
  <c r="T109" i="17"/>
  <c r="S109" i="17"/>
  <c r="R109" i="17"/>
  <c r="Q109" i="17"/>
  <c r="P109" i="17"/>
  <c r="M109" i="17"/>
  <c r="L109" i="17"/>
  <c r="K109" i="17"/>
  <c r="J109" i="17"/>
  <c r="I109" i="17"/>
  <c r="F109" i="17"/>
  <c r="E109" i="17"/>
  <c r="D109" i="17"/>
  <c r="C109" i="17"/>
  <c r="B109" i="17"/>
  <c r="AO108" i="17"/>
  <c r="AN108" i="17"/>
  <c r="AM108" i="17"/>
  <c r="AL108" i="17"/>
  <c r="AK108" i="17"/>
  <c r="AH108" i="17"/>
  <c r="AG108" i="17"/>
  <c r="AF108" i="17"/>
  <c r="AE108" i="17"/>
  <c r="AD108" i="17"/>
  <c r="AA108" i="17"/>
  <c r="Z108" i="17"/>
  <c r="Y108" i="17"/>
  <c r="X108" i="17"/>
  <c r="W108" i="17"/>
  <c r="T108" i="17"/>
  <c r="S108" i="17"/>
  <c r="R108" i="17"/>
  <c r="Q108" i="17"/>
  <c r="P108" i="17"/>
  <c r="M108" i="17"/>
  <c r="L108" i="17"/>
  <c r="K108" i="17"/>
  <c r="J108" i="17"/>
  <c r="I108" i="17"/>
  <c r="F108" i="17"/>
  <c r="E108" i="17"/>
  <c r="D108" i="17"/>
  <c r="C108" i="17"/>
  <c r="B108" i="17"/>
  <c r="AO107" i="17"/>
  <c r="AN107" i="17"/>
  <c r="AM107" i="17"/>
  <c r="AL107" i="17"/>
  <c r="AK107" i="17"/>
  <c r="AH107" i="17"/>
  <c r="AG107" i="17"/>
  <c r="AF107" i="17"/>
  <c r="AE107" i="17"/>
  <c r="AD107" i="17"/>
  <c r="AA107" i="17"/>
  <c r="Z107" i="17"/>
  <c r="Y107" i="17"/>
  <c r="X107" i="17"/>
  <c r="W107" i="17"/>
  <c r="T107" i="17"/>
  <c r="S107" i="17"/>
  <c r="R107" i="17"/>
  <c r="Q107" i="17"/>
  <c r="P107" i="17"/>
  <c r="M107" i="17"/>
  <c r="L107" i="17"/>
  <c r="K107" i="17"/>
  <c r="J107" i="17"/>
  <c r="I107" i="17"/>
  <c r="F107" i="17"/>
  <c r="E107" i="17"/>
  <c r="D107" i="17"/>
  <c r="C107" i="17"/>
  <c r="B107" i="17"/>
  <c r="AO106" i="17"/>
  <c r="AN106" i="17"/>
  <c r="AM106" i="17"/>
  <c r="AL106" i="17"/>
  <c r="AK106" i="17"/>
  <c r="AH106" i="17"/>
  <c r="AG106" i="17"/>
  <c r="AF106" i="17"/>
  <c r="AE106" i="17"/>
  <c r="AD106" i="17"/>
  <c r="AA106" i="17"/>
  <c r="Z106" i="17"/>
  <c r="Y106" i="17"/>
  <c r="X106" i="17"/>
  <c r="W106" i="17"/>
  <c r="T106" i="17"/>
  <c r="S106" i="17"/>
  <c r="R106" i="17"/>
  <c r="Q106" i="17"/>
  <c r="P106" i="17"/>
  <c r="M106" i="17"/>
  <c r="L106" i="17"/>
  <c r="K106" i="17"/>
  <c r="J106" i="17"/>
  <c r="I106" i="17"/>
  <c r="F106" i="17"/>
  <c r="E106" i="17"/>
  <c r="D106" i="17"/>
  <c r="C106" i="17"/>
  <c r="B106" i="17"/>
  <c r="H2" i="16"/>
  <c r="B106" i="1"/>
  <c r="F3" i="3"/>
  <c r="E3" i="3"/>
  <c r="C106" i="1"/>
  <c r="F4" i="3"/>
  <c r="E4" i="3"/>
  <c r="E106" i="1"/>
  <c r="F5" i="3"/>
  <c r="E5" i="3"/>
  <c r="D106" i="1"/>
  <c r="F6" i="3"/>
  <c r="E6" i="3"/>
  <c r="F106" i="1"/>
  <c r="F7" i="3"/>
  <c r="E7" i="3"/>
  <c r="B106" i="2"/>
  <c r="F8" i="3"/>
  <c r="E8" i="3"/>
  <c r="C106" i="2"/>
  <c r="F9" i="3"/>
  <c r="E9" i="3"/>
  <c r="E106" i="2"/>
  <c r="F10" i="3"/>
  <c r="E10" i="3"/>
  <c r="D106" i="2"/>
  <c r="F11" i="3"/>
  <c r="E11" i="3"/>
  <c r="F106" i="2"/>
  <c r="F12" i="3"/>
  <c r="E12" i="3"/>
  <c r="F13" i="3"/>
  <c r="E13" i="3"/>
  <c r="F14" i="3"/>
  <c r="E14" i="3"/>
  <c r="F15" i="3"/>
  <c r="E15" i="3"/>
  <c r="F16" i="3"/>
  <c r="E16" i="3"/>
  <c r="F17" i="3"/>
  <c r="E17" i="3"/>
  <c r="F18" i="3"/>
  <c r="E18" i="3"/>
  <c r="F19" i="3"/>
  <c r="E19" i="3"/>
  <c r="F20" i="3"/>
  <c r="E20" i="3"/>
  <c r="F21" i="3"/>
  <c r="E21" i="3"/>
  <c r="F22" i="3"/>
  <c r="E22" i="3"/>
  <c r="I106" i="1"/>
  <c r="F23" i="3"/>
  <c r="E23" i="3"/>
  <c r="J106" i="1"/>
  <c r="F24" i="3"/>
  <c r="E24" i="3"/>
  <c r="L106" i="1"/>
  <c r="F25" i="3"/>
  <c r="E25" i="3"/>
  <c r="K106" i="1"/>
  <c r="F26" i="3"/>
  <c r="E26" i="3"/>
  <c r="M106" i="1"/>
  <c r="F27" i="3"/>
  <c r="E27" i="3"/>
  <c r="I106" i="2"/>
  <c r="F28" i="3"/>
  <c r="E28" i="3"/>
  <c r="J106" i="2"/>
  <c r="F29" i="3"/>
  <c r="E29" i="3"/>
  <c r="L106" i="2"/>
  <c r="F30" i="3"/>
  <c r="E30" i="3"/>
  <c r="K106" i="2"/>
  <c r="F31" i="3"/>
  <c r="E31" i="3"/>
  <c r="M106" i="2"/>
  <c r="F32" i="3"/>
  <c r="E32" i="3"/>
  <c r="F33" i="3"/>
  <c r="E33" i="3"/>
  <c r="F34" i="3"/>
  <c r="E34" i="3"/>
  <c r="F35" i="3"/>
  <c r="E35" i="3"/>
  <c r="F36" i="3"/>
  <c r="E36" i="3"/>
  <c r="F37" i="3"/>
  <c r="E37" i="3"/>
  <c r="F38" i="3"/>
  <c r="E38" i="3"/>
  <c r="F39" i="3"/>
  <c r="E39" i="3"/>
  <c r="F40" i="3"/>
  <c r="E40" i="3"/>
  <c r="F41" i="3"/>
  <c r="E41" i="3"/>
  <c r="F42" i="3"/>
  <c r="E42" i="3"/>
  <c r="P106" i="1"/>
  <c r="F43" i="3"/>
  <c r="E43" i="3"/>
  <c r="Q106" i="1"/>
  <c r="F44" i="3"/>
  <c r="E44" i="3"/>
  <c r="S106" i="1"/>
  <c r="F45" i="3"/>
  <c r="E45" i="3"/>
  <c r="R106" i="1"/>
  <c r="F46" i="3"/>
  <c r="E46" i="3"/>
  <c r="T106" i="1"/>
  <c r="F47" i="3"/>
  <c r="E47" i="3"/>
  <c r="P106" i="2"/>
  <c r="F48" i="3"/>
  <c r="E48" i="3"/>
  <c r="Q106" i="2"/>
  <c r="F49" i="3"/>
  <c r="E49" i="3"/>
  <c r="S106" i="2"/>
  <c r="F50" i="3"/>
  <c r="E50" i="3"/>
  <c r="R106" i="2"/>
  <c r="F51" i="3"/>
  <c r="E51" i="3"/>
  <c r="T106" i="2"/>
  <c r="F52" i="3"/>
  <c r="E52" i="3"/>
  <c r="F53" i="3"/>
  <c r="E53" i="3"/>
  <c r="F54" i="3"/>
  <c r="E54" i="3"/>
  <c r="F55" i="3"/>
  <c r="E55" i="3"/>
  <c r="F56" i="3"/>
  <c r="E56" i="3"/>
  <c r="F57" i="3"/>
  <c r="E57" i="3"/>
  <c r="F58" i="3"/>
  <c r="E58" i="3"/>
  <c r="F59" i="3"/>
  <c r="E59" i="3"/>
  <c r="F60" i="3"/>
  <c r="E60" i="3"/>
  <c r="F61" i="3"/>
  <c r="E61" i="3"/>
  <c r="F62" i="3"/>
  <c r="E62" i="3"/>
  <c r="Q4" i="3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3" i="3"/>
  <c r="X106" i="1"/>
  <c r="T4" i="3"/>
  <c r="S4" i="3"/>
  <c r="Z106" i="1"/>
  <c r="T5" i="3"/>
  <c r="S5" i="3"/>
  <c r="Y106" i="1"/>
  <c r="T6" i="3"/>
  <c r="S6" i="3"/>
  <c r="AA106" i="1"/>
  <c r="T7" i="3"/>
  <c r="S7" i="3"/>
  <c r="W106" i="2"/>
  <c r="T8" i="3"/>
  <c r="S8" i="3"/>
  <c r="X106" i="2"/>
  <c r="T9" i="3"/>
  <c r="S9" i="3"/>
  <c r="Z106" i="2"/>
  <c r="T10" i="3"/>
  <c r="S10" i="3"/>
  <c r="Y106" i="2"/>
  <c r="T11" i="3"/>
  <c r="S11" i="3"/>
  <c r="AA106" i="2"/>
  <c r="T12" i="3"/>
  <c r="S12" i="3"/>
  <c r="T13" i="3"/>
  <c r="S13" i="3"/>
  <c r="T14" i="3"/>
  <c r="S14" i="3"/>
  <c r="T15" i="3"/>
  <c r="S15" i="3"/>
  <c r="T16" i="3"/>
  <c r="S16" i="3"/>
  <c r="T17" i="3"/>
  <c r="S17" i="3"/>
  <c r="T18" i="3"/>
  <c r="S18" i="3"/>
  <c r="T19" i="3"/>
  <c r="S19" i="3"/>
  <c r="T20" i="3"/>
  <c r="S20" i="3"/>
  <c r="T21" i="3"/>
  <c r="S21" i="3"/>
  <c r="T22" i="3"/>
  <c r="S22" i="3"/>
  <c r="AD106" i="1"/>
  <c r="T23" i="3"/>
  <c r="S23" i="3"/>
  <c r="AE106" i="1"/>
  <c r="T24" i="3"/>
  <c r="S24" i="3"/>
  <c r="AG106" i="1"/>
  <c r="T25" i="3"/>
  <c r="S25" i="3"/>
  <c r="AF106" i="1"/>
  <c r="T26" i="3"/>
  <c r="S26" i="3"/>
  <c r="AH106" i="1"/>
  <c r="T27" i="3"/>
  <c r="S27" i="3"/>
  <c r="AD106" i="2"/>
  <c r="T28" i="3"/>
  <c r="S28" i="3"/>
  <c r="AE106" i="2"/>
  <c r="T29" i="3"/>
  <c r="S29" i="3"/>
  <c r="AG106" i="2"/>
  <c r="T30" i="3"/>
  <c r="S30" i="3"/>
  <c r="AF106" i="2"/>
  <c r="T31" i="3"/>
  <c r="S31" i="3"/>
  <c r="AH106" i="2"/>
  <c r="T32" i="3"/>
  <c r="S32" i="3"/>
  <c r="T33" i="3"/>
  <c r="S33" i="3"/>
  <c r="T34" i="3"/>
  <c r="S34" i="3"/>
  <c r="T35" i="3"/>
  <c r="S35" i="3"/>
  <c r="T36" i="3"/>
  <c r="S36" i="3"/>
  <c r="T37" i="3"/>
  <c r="S37" i="3"/>
  <c r="T38" i="3"/>
  <c r="S38" i="3"/>
  <c r="T39" i="3"/>
  <c r="S39" i="3"/>
  <c r="T40" i="3"/>
  <c r="S40" i="3"/>
  <c r="T41" i="3"/>
  <c r="S41" i="3"/>
  <c r="T42" i="3"/>
  <c r="S42" i="3"/>
  <c r="AK106" i="1"/>
  <c r="T43" i="3"/>
  <c r="S43" i="3"/>
  <c r="AL106" i="1"/>
  <c r="T44" i="3"/>
  <c r="S44" i="3"/>
  <c r="AN106" i="1"/>
  <c r="T45" i="3"/>
  <c r="S45" i="3"/>
  <c r="AM106" i="1"/>
  <c r="T46" i="3"/>
  <c r="S46" i="3"/>
  <c r="AO106" i="1"/>
  <c r="T47" i="3"/>
  <c r="S47" i="3"/>
  <c r="AK106" i="2"/>
  <c r="T48" i="3"/>
  <c r="S48" i="3"/>
  <c r="AL106" i="2"/>
  <c r="T49" i="3"/>
  <c r="S49" i="3"/>
  <c r="AN106" i="2"/>
  <c r="T50" i="3"/>
  <c r="S50" i="3"/>
  <c r="AM106" i="2"/>
  <c r="T51" i="3"/>
  <c r="S51" i="3"/>
  <c r="AO106" i="2"/>
  <c r="T52" i="3"/>
  <c r="S52" i="3"/>
  <c r="T53" i="3"/>
  <c r="S53" i="3"/>
  <c r="T54" i="3"/>
  <c r="S54" i="3"/>
  <c r="T55" i="3"/>
  <c r="S55" i="3"/>
  <c r="T56" i="3"/>
  <c r="S56" i="3"/>
  <c r="T57" i="3"/>
  <c r="S57" i="3"/>
  <c r="T58" i="3"/>
  <c r="S58" i="3"/>
  <c r="T59" i="3"/>
  <c r="S59" i="3"/>
  <c r="T60" i="3"/>
  <c r="S60" i="3"/>
  <c r="T61" i="3"/>
  <c r="S61" i="3"/>
  <c r="T62" i="3"/>
  <c r="S62" i="3"/>
  <c r="W106" i="1"/>
  <c r="T3" i="3"/>
  <c r="S3" i="3"/>
  <c r="M1" i="13"/>
  <c r="B1" i="13"/>
  <c r="I1" i="12"/>
  <c r="B1" i="12"/>
  <c r="I1" i="10"/>
  <c r="B1" i="10"/>
  <c r="X62" i="3"/>
  <c r="X61" i="3"/>
  <c r="X60" i="3"/>
  <c r="X59" i="3"/>
  <c r="X58" i="3"/>
  <c r="X57" i="3"/>
  <c r="X56" i="3"/>
  <c r="X55" i="3"/>
  <c r="X54" i="3"/>
  <c r="X53" i="3"/>
  <c r="X52" i="3"/>
  <c r="X51" i="3"/>
  <c r="X50" i="3"/>
  <c r="X49" i="3"/>
  <c r="X48" i="3"/>
  <c r="X47" i="3"/>
  <c r="X46" i="3"/>
  <c r="X45" i="3"/>
  <c r="X44" i="3"/>
  <c r="X43" i="3"/>
  <c r="X42" i="3"/>
  <c r="X41" i="3"/>
  <c r="X40" i="3"/>
  <c r="X39" i="3"/>
  <c r="X38" i="3"/>
  <c r="X37" i="3"/>
  <c r="X36" i="3"/>
  <c r="X35" i="3"/>
  <c r="X34" i="3"/>
  <c r="X33" i="3"/>
  <c r="X32" i="3"/>
  <c r="X31" i="3"/>
  <c r="X30" i="3"/>
  <c r="X29" i="3"/>
  <c r="X28" i="3"/>
  <c r="X27" i="3"/>
  <c r="X26" i="3"/>
  <c r="X25" i="3"/>
  <c r="X24" i="3"/>
  <c r="X23" i="3"/>
  <c r="X22" i="3"/>
  <c r="X21" i="3"/>
  <c r="X20" i="3"/>
  <c r="X19" i="3"/>
  <c r="X18" i="3"/>
  <c r="X17" i="3"/>
  <c r="X16" i="3"/>
  <c r="X15" i="3"/>
  <c r="X14" i="3"/>
  <c r="X13" i="3"/>
  <c r="X12" i="3"/>
  <c r="X11" i="3"/>
  <c r="X10" i="3"/>
  <c r="X9" i="3"/>
  <c r="X8" i="3"/>
  <c r="X7" i="3"/>
  <c r="X6" i="3"/>
  <c r="X5" i="3"/>
  <c r="X4" i="3"/>
  <c r="X3" i="3"/>
  <c r="J52" i="3"/>
  <c r="J51" i="3"/>
  <c r="J50" i="3"/>
  <c r="J49" i="3"/>
  <c r="J48" i="3"/>
  <c r="J62" i="3"/>
  <c r="J61" i="3"/>
  <c r="J60" i="3"/>
  <c r="J59" i="3"/>
  <c r="J58" i="3"/>
  <c r="J47" i="3"/>
  <c r="J46" i="3"/>
  <c r="J45" i="3"/>
  <c r="J44" i="3"/>
  <c r="J43" i="3"/>
  <c r="J42" i="3"/>
  <c r="J41" i="3"/>
  <c r="J40" i="3"/>
  <c r="J39" i="3"/>
  <c r="J38" i="3"/>
  <c r="J57" i="3"/>
  <c r="J56" i="3"/>
  <c r="J55" i="3"/>
  <c r="J54" i="3"/>
  <c r="J53" i="3"/>
  <c r="J37" i="3"/>
  <c r="J36" i="3"/>
  <c r="J35" i="3"/>
  <c r="J34" i="3"/>
  <c r="J33" i="3"/>
  <c r="J32" i="3"/>
  <c r="J31" i="3"/>
  <c r="J30" i="3"/>
  <c r="J29" i="3"/>
  <c r="J28" i="3"/>
  <c r="J27" i="3"/>
  <c r="J26" i="3"/>
  <c r="J25" i="3"/>
  <c r="J24" i="3"/>
  <c r="J23" i="3"/>
  <c r="J19" i="3"/>
  <c r="J20" i="3"/>
  <c r="J21" i="3"/>
  <c r="J22" i="3"/>
  <c r="J18" i="3"/>
  <c r="J17" i="3"/>
  <c r="J16" i="3"/>
  <c r="J15" i="3"/>
  <c r="J14" i="3"/>
  <c r="J13" i="3"/>
  <c r="J7" i="3"/>
  <c r="J6" i="3"/>
  <c r="J5" i="3"/>
  <c r="J4" i="3"/>
  <c r="J3" i="3"/>
  <c r="J8" i="3"/>
  <c r="J9" i="3"/>
  <c r="J10" i="3"/>
  <c r="J11" i="3"/>
  <c r="J12" i="3"/>
  <c r="W62" i="3"/>
  <c r="V62" i="3"/>
  <c r="U62" i="3"/>
  <c r="W61" i="3"/>
  <c r="V61" i="3"/>
  <c r="U61" i="3"/>
  <c r="W60" i="3"/>
  <c r="V60" i="3"/>
  <c r="U60" i="3"/>
  <c r="W59" i="3"/>
  <c r="V59" i="3"/>
  <c r="U59" i="3"/>
  <c r="W58" i="3"/>
  <c r="V58" i="3"/>
  <c r="U58" i="3"/>
  <c r="W57" i="3"/>
  <c r="V57" i="3"/>
  <c r="U57" i="3"/>
  <c r="W56" i="3"/>
  <c r="V56" i="3"/>
  <c r="U56" i="3"/>
  <c r="W55" i="3"/>
  <c r="V55" i="3"/>
  <c r="U55" i="3"/>
  <c r="W54" i="3"/>
  <c r="V54" i="3"/>
  <c r="U54" i="3"/>
  <c r="W53" i="3"/>
  <c r="V53" i="3"/>
  <c r="U53" i="3"/>
  <c r="AO109" i="2"/>
  <c r="W52" i="3"/>
  <c r="AO108" i="2"/>
  <c r="V52" i="3"/>
  <c r="AO107" i="2"/>
  <c r="U52" i="3"/>
  <c r="AM109" i="2"/>
  <c r="W51" i="3"/>
  <c r="AM108" i="2"/>
  <c r="V51" i="3"/>
  <c r="AM107" i="2"/>
  <c r="U51" i="3"/>
  <c r="AN109" i="2"/>
  <c r="W50" i="3"/>
  <c r="AN108" i="2"/>
  <c r="V50" i="3"/>
  <c r="AN107" i="2"/>
  <c r="U50" i="3"/>
  <c r="AL109" i="2"/>
  <c r="W49" i="3"/>
  <c r="AL108" i="2"/>
  <c r="V49" i="3"/>
  <c r="AL107" i="2"/>
  <c r="U49" i="3"/>
  <c r="AK109" i="1"/>
  <c r="W48" i="3"/>
  <c r="AK108" i="1"/>
  <c r="V48" i="3"/>
  <c r="AK107" i="1"/>
  <c r="U48" i="3"/>
  <c r="AO109" i="1"/>
  <c r="W47" i="3"/>
  <c r="AO108" i="1"/>
  <c r="V47" i="3"/>
  <c r="AO107" i="1"/>
  <c r="U47" i="3"/>
  <c r="AM109" i="1"/>
  <c r="W46" i="3"/>
  <c r="AM108" i="1"/>
  <c r="V46" i="3"/>
  <c r="AM107" i="1"/>
  <c r="U46" i="3"/>
  <c r="AN109" i="1"/>
  <c r="W45" i="3"/>
  <c r="AN108" i="1"/>
  <c r="V45" i="3"/>
  <c r="AN107" i="1"/>
  <c r="U45" i="3"/>
  <c r="AL109" i="1"/>
  <c r="W44" i="3"/>
  <c r="AL108" i="1"/>
  <c r="V44" i="3"/>
  <c r="AL107" i="1"/>
  <c r="U44" i="3"/>
  <c r="W43" i="3"/>
  <c r="V43" i="3"/>
  <c r="U43" i="3"/>
  <c r="W42" i="3"/>
  <c r="V42" i="3"/>
  <c r="U42" i="3"/>
  <c r="W41" i="3"/>
  <c r="V41" i="3"/>
  <c r="U41" i="3"/>
  <c r="W40" i="3"/>
  <c r="V40" i="3"/>
  <c r="U40" i="3"/>
  <c r="W39" i="3"/>
  <c r="V39" i="3"/>
  <c r="U39" i="3"/>
  <c r="W38" i="3"/>
  <c r="V38" i="3"/>
  <c r="U38" i="3"/>
  <c r="W37" i="3"/>
  <c r="V37" i="3"/>
  <c r="U37" i="3"/>
  <c r="W36" i="3"/>
  <c r="V36" i="3"/>
  <c r="U36" i="3"/>
  <c r="W35" i="3"/>
  <c r="V35" i="3"/>
  <c r="U35" i="3"/>
  <c r="W34" i="3"/>
  <c r="V34" i="3"/>
  <c r="U34" i="3"/>
  <c r="W33" i="3"/>
  <c r="V33" i="3"/>
  <c r="U33" i="3"/>
  <c r="AH109" i="2"/>
  <c r="W32" i="3"/>
  <c r="AH108" i="2"/>
  <c r="V32" i="3"/>
  <c r="AH107" i="2"/>
  <c r="U32" i="3"/>
  <c r="AF109" i="2"/>
  <c r="W31" i="3"/>
  <c r="AF108" i="2"/>
  <c r="V31" i="3"/>
  <c r="AF107" i="2"/>
  <c r="U31" i="3"/>
  <c r="AG109" i="2"/>
  <c r="W30" i="3"/>
  <c r="AG108" i="2"/>
  <c r="V30" i="3"/>
  <c r="AG107" i="2"/>
  <c r="U30" i="3"/>
  <c r="AE109" i="2"/>
  <c r="W29" i="3"/>
  <c r="AE108" i="2"/>
  <c r="V29" i="3"/>
  <c r="AE107" i="2"/>
  <c r="U29" i="3"/>
  <c r="AD109" i="2"/>
  <c r="W28" i="3"/>
  <c r="AD108" i="2"/>
  <c r="V28" i="3"/>
  <c r="AD107" i="2"/>
  <c r="U28" i="3"/>
  <c r="AH109" i="1"/>
  <c r="W27" i="3"/>
  <c r="AH108" i="1"/>
  <c r="V27" i="3"/>
  <c r="AH107" i="1"/>
  <c r="U27" i="3"/>
  <c r="AF109" i="1"/>
  <c r="W26" i="3"/>
  <c r="AF108" i="1"/>
  <c r="V26" i="3"/>
  <c r="AF107" i="1"/>
  <c r="U26" i="3"/>
  <c r="AG109" i="1"/>
  <c r="W25" i="3"/>
  <c r="AG108" i="1"/>
  <c r="V25" i="3"/>
  <c r="AG107" i="1"/>
  <c r="U25" i="3"/>
  <c r="AE109" i="1"/>
  <c r="W24" i="3"/>
  <c r="AE108" i="1"/>
  <c r="V24" i="3"/>
  <c r="AE107" i="1"/>
  <c r="U24" i="3"/>
  <c r="AD109" i="1"/>
  <c r="W23" i="3"/>
  <c r="AD108" i="1"/>
  <c r="V23" i="3"/>
  <c r="AD107" i="1"/>
  <c r="U23" i="3"/>
  <c r="W22" i="3"/>
  <c r="V22" i="3"/>
  <c r="U22" i="3"/>
  <c r="W21" i="3"/>
  <c r="V21" i="3"/>
  <c r="U21" i="3"/>
  <c r="W20" i="3"/>
  <c r="V20" i="3"/>
  <c r="U20" i="3"/>
  <c r="W19" i="3"/>
  <c r="V19" i="3"/>
  <c r="U19" i="3"/>
  <c r="W18" i="3"/>
  <c r="V18" i="3"/>
  <c r="U18" i="3"/>
  <c r="W17" i="3"/>
  <c r="V17" i="3"/>
  <c r="U17" i="3"/>
  <c r="W16" i="3"/>
  <c r="V16" i="3"/>
  <c r="U16" i="3"/>
  <c r="W15" i="3"/>
  <c r="V15" i="3"/>
  <c r="U15" i="3"/>
  <c r="W14" i="3"/>
  <c r="V14" i="3"/>
  <c r="U14" i="3"/>
  <c r="W13" i="3"/>
  <c r="V13" i="3"/>
  <c r="U13" i="3"/>
  <c r="AA109" i="2"/>
  <c r="W12" i="3"/>
  <c r="AA108" i="2"/>
  <c r="V12" i="3"/>
  <c r="AA107" i="2"/>
  <c r="U12" i="3"/>
  <c r="Y109" i="2"/>
  <c r="W11" i="3"/>
  <c r="Y108" i="2"/>
  <c r="V11" i="3"/>
  <c r="Y107" i="2"/>
  <c r="U11" i="3"/>
  <c r="Z109" i="2"/>
  <c r="W10" i="3"/>
  <c r="Z108" i="2"/>
  <c r="V10" i="3"/>
  <c r="Z107" i="2"/>
  <c r="U10" i="3"/>
  <c r="X109" i="2"/>
  <c r="W9" i="3"/>
  <c r="X108" i="2"/>
  <c r="V9" i="3"/>
  <c r="X107" i="2"/>
  <c r="U9" i="3"/>
  <c r="W109" i="1"/>
  <c r="W8" i="3"/>
  <c r="W108" i="1"/>
  <c r="V8" i="3"/>
  <c r="W107" i="1"/>
  <c r="U8" i="3"/>
  <c r="AA109" i="1"/>
  <c r="W7" i="3"/>
  <c r="AA108" i="1"/>
  <c r="V7" i="3"/>
  <c r="AA107" i="1"/>
  <c r="U7" i="3"/>
  <c r="Y109" i="1"/>
  <c r="W6" i="3"/>
  <c r="Y108" i="1"/>
  <c r="V6" i="3"/>
  <c r="Y107" i="1"/>
  <c r="U6" i="3"/>
  <c r="Z109" i="1"/>
  <c r="W5" i="3"/>
  <c r="Z108" i="1"/>
  <c r="V5" i="3"/>
  <c r="Z107" i="1"/>
  <c r="U5" i="3"/>
  <c r="X109" i="1"/>
  <c r="W4" i="3"/>
  <c r="X108" i="1"/>
  <c r="V4" i="3"/>
  <c r="X107" i="1"/>
  <c r="U4" i="3"/>
  <c r="W3" i="3"/>
  <c r="V3" i="3"/>
  <c r="U3" i="3"/>
  <c r="I62" i="3"/>
  <c r="H62" i="3"/>
  <c r="G62" i="3"/>
  <c r="I61" i="3"/>
  <c r="H61" i="3"/>
  <c r="G61" i="3"/>
  <c r="I60" i="3"/>
  <c r="H60" i="3"/>
  <c r="G60" i="3"/>
  <c r="I59" i="3"/>
  <c r="H59" i="3"/>
  <c r="G59" i="3"/>
  <c r="I58" i="3"/>
  <c r="H58" i="3"/>
  <c r="G58" i="3"/>
  <c r="I42" i="3"/>
  <c r="H42" i="3"/>
  <c r="G42" i="3"/>
  <c r="I41" i="3"/>
  <c r="H41" i="3"/>
  <c r="G41" i="3"/>
  <c r="I40" i="3"/>
  <c r="H40" i="3"/>
  <c r="G40" i="3"/>
  <c r="I39" i="3"/>
  <c r="H39" i="3"/>
  <c r="G39" i="3"/>
  <c r="I38" i="3"/>
  <c r="H38" i="3"/>
  <c r="G38" i="3"/>
  <c r="I22" i="3"/>
  <c r="H22" i="3"/>
  <c r="G22" i="3"/>
  <c r="I21" i="3"/>
  <c r="H21" i="3"/>
  <c r="G21" i="3"/>
  <c r="I20" i="3"/>
  <c r="H20" i="3"/>
  <c r="G20" i="3"/>
  <c r="I19" i="3"/>
  <c r="H19" i="3"/>
  <c r="G19" i="3"/>
  <c r="I18" i="3"/>
  <c r="H18" i="3"/>
  <c r="G18" i="3"/>
  <c r="I57" i="3"/>
  <c r="H57" i="3"/>
  <c r="G57" i="3"/>
  <c r="I56" i="3"/>
  <c r="H56" i="3"/>
  <c r="G56" i="3"/>
  <c r="I55" i="3"/>
  <c r="H55" i="3"/>
  <c r="G55" i="3"/>
  <c r="I54" i="3"/>
  <c r="H54" i="3"/>
  <c r="G54" i="3"/>
  <c r="I53" i="3"/>
  <c r="H53" i="3"/>
  <c r="G53" i="3"/>
  <c r="I37" i="3"/>
  <c r="H37" i="3"/>
  <c r="G37" i="3"/>
  <c r="I36" i="3"/>
  <c r="H36" i="3"/>
  <c r="G36" i="3"/>
  <c r="I35" i="3"/>
  <c r="H35" i="3"/>
  <c r="G35" i="3"/>
  <c r="I34" i="3"/>
  <c r="H34" i="3"/>
  <c r="G34" i="3"/>
  <c r="I33" i="3"/>
  <c r="H33" i="3"/>
  <c r="G33" i="3"/>
  <c r="I17" i="3"/>
  <c r="H17" i="3"/>
  <c r="G17" i="3"/>
  <c r="I16" i="3"/>
  <c r="H16" i="3"/>
  <c r="G16" i="3"/>
  <c r="I15" i="3"/>
  <c r="H15" i="3"/>
  <c r="G15" i="3"/>
  <c r="I14" i="3"/>
  <c r="H14" i="3"/>
  <c r="G14" i="3"/>
  <c r="I13" i="3"/>
  <c r="H13" i="3"/>
  <c r="G13" i="3"/>
  <c r="AO109" i="5"/>
  <c r="AN109" i="5"/>
  <c r="AM109" i="5"/>
  <c r="AL109" i="5"/>
  <c r="AK109" i="5"/>
  <c r="AH109" i="5"/>
  <c r="AG109" i="5"/>
  <c r="AF109" i="5"/>
  <c r="AE109" i="5"/>
  <c r="AD109" i="5"/>
  <c r="AA109" i="5"/>
  <c r="Z109" i="5"/>
  <c r="Y109" i="5"/>
  <c r="X109" i="5"/>
  <c r="W109" i="5"/>
  <c r="AO108" i="5"/>
  <c r="AN108" i="5"/>
  <c r="AM108" i="5"/>
  <c r="AL108" i="5"/>
  <c r="AK108" i="5"/>
  <c r="AH108" i="5"/>
  <c r="AG108" i="5"/>
  <c r="AF108" i="5"/>
  <c r="AE108" i="5"/>
  <c r="AD108" i="5"/>
  <c r="AA108" i="5"/>
  <c r="Z108" i="5"/>
  <c r="Y108" i="5"/>
  <c r="X108" i="5"/>
  <c r="W108" i="5"/>
  <c r="AO107" i="5"/>
  <c r="AN107" i="5"/>
  <c r="AM107" i="5"/>
  <c r="AL107" i="5"/>
  <c r="AK107" i="5"/>
  <c r="AH107" i="5"/>
  <c r="AG107" i="5"/>
  <c r="AF107" i="5"/>
  <c r="AE107" i="5"/>
  <c r="AD107" i="5"/>
  <c r="AA107" i="5"/>
  <c r="Z107" i="5"/>
  <c r="Y107" i="5"/>
  <c r="X107" i="5"/>
  <c r="W107" i="5"/>
  <c r="AO106" i="5"/>
  <c r="AN106" i="5"/>
  <c r="AM106" i="5"/>
  <c r="AL106" i="5"/>
  <c r="AK106" i="5"/>
  <c r="AH106" i="5"/>
  <c r="AG106" i="5"/>
  <c r="AF106" i="5"/>
  <c r="AE106" i="5"/>
  <c r="AD106" i="5"/>
  <c r="AA106" i="5"/>
  <c r="Z106" i="5"/>
  <c r="Y106" i="5"/>
  <c r="X106" i="5"/>
  <c r="W106" i="5"/>
  <c r="T109" i="5"/>
  <c r="S109" i="5"/>
  <c r="R109" i="5"/>
  <c r="Q109" i="5"/>
  <c r="P109" i="5"/>
  <c r="T108" i="5"/>
  <c r="S108" i="5"/>
  <c r="R108" i="5"/>
  <c r="Q108" i="5"/>
  <c r="P108" i="5"/>
  <c r="T107" i="5"/>
  <c r="S107" i="5"/>
  <c r="R107" i="5"/>
  <c r="Q107" i="5"/>
  <c r="P107" i="5"/>
  <c r="T106" i="5"/>
  <c r="S106" i="5"/>
  <c r="R106" i="5"/>
  <c r="Q106" i="5"/>
  <c r="P106" i="5"/>
  <c r="M109" i="5"/>
  <c r="L109" i="5"/>
  <c r="K109" i="5"/>
  <c r="J109" i="5"/>
  <c r="I109" i="5"/>
  <c r="M108" i="5"/>
  <c r="L108" i="5"/>
  <c r="K108" i="5"/>
  <c r="J108" i="5"/>
  <c r="I108" i="5"/>
  <c r="M107" i="5"/>
  <c r="L107" i="5"/>
  <c r="K107" i="5"/>
  <c r="J107" i="5"/>
  <c r="I107" i="5"/>
  <c r="M106" i="5"/>
  <c r="L106" i="5"/>
  <c r="K106" i="5"/>
  <c r="J106" i="5"/>
  <c r="I106" i="5"/>
  <c r="C106" i="5"/>
  <c r="D106" i="5"/>
  <c r="E106" i="5"/>
  <c r="F106" i="5"/>
  <c r="C107" i="5"/>
  <c r="D107" i="5"/>
  <c r="E107" i="5"/>
  <c r="F107" i="5"/>
  <c r="C108" i="5"/>
  <c r="D108" i="5"/>
  <c r="E108" i="5"/>
  <c r="F108" i="5"/>
  <c r="C109" i="5"/>
  <c r="D109" i="5"/>
  <c r="E109" i="5"/>
  <c r="F109" i="5"/>
  <c r="B109" i="5"/>
  <c r="B108" i="5"/>
  <c r="B107" i="5"/>
  <c r="B106" i="5"/>
  <c r="AO109" i="4"/>
  <c r="AN109" i="4"/>
  <c r="AM109" i="4"/>
  <c r="AL109" i="4"/>
  <c r="AK109" i="4"/>
  <c r="AH109" i="4"/>
  <c r="AG109" i="4"/>
  <c r="AF109" i="4"/>
  <c r="AE109" i="4"/>
  <c r="AD109" i="4"/>
  <c r="AA109" i="4"/>
  <c r="Z109" i="4"/>
  <c r="Y109" i="4"/>
  <c r="X109" i="4"/>
  <c r="W109" i="4"/>
  <c r="AO108" i="4"/>
  <c r="AN108" i="4"/>
  <c r="AM108" i="4"/>
  <c r="AL108" i="4"/>
  <c r="AK108" i="4"/>
  <c r="AH108" i="4"/>
  <c r="AG108" i="4"/>
  <c r="AF108" i="4"/>
  <c r="AE108" i="4"/>
  <c r="AD108" i="4"/>
  <c r="AA108" i="4"/>
  <c r="Z108" i="4"/>
  <c r="Y108" i="4"/>
  <c r="X108" i="4"/>
  <c r="W108" i="4"/>
  <c r="AO107" i="4"/>
  <c r="AN107" i="4"/>
  <c r="AM107" i="4"/>
  <c r="AL107" i="4"/>
  <c r="AK107" i="4"/>
  <c r="AH107" i="4"/>
  <c r="AG107" i="4"/>
  <c r="AF107" i="4"/>
  <c r="AE107" i="4"/>
  <c r="AD107" i="4"/>
  <c r="AA107" i="4"/>
  <c r="Z107" i="4"/>
  <c r="Y107" i="4"/>
  <c r="X107" i="4"/>
  <c r="W107" i="4"/>
  <c r="AO106" i="4"/>
  <c r="AN106" i="4"/>
  <c r="AM106" i="4"/>
  <c r="AL106" i="4"/>
  <c r="AK106" i="4"/>
  <c r="AH106" i="4"/>
  <c r="AG106" i="4"/>
  <c r="AF106" i="4"/>
  <c r="AE106" i="4"/>
  <c r="AD106" i="4"/>
  <c r="AA106" i="4"/>
  <c r="Z106" i="4"/>
  <c r="Y106" i="4"/>
  <c r="X106" i="4"/>
  <c r="W106" i="4"/>
  <c r="T109" i="4"/>
  <c r="S109" i="4"/>
  <c r="R109" i="4"/>
  <c r="Q109" i="4"/>
  <c r="P109" i="4"/>
  <c r="T108" i="4"/>
  <c r="S108" i="4"/>
  <c r="R108" i="4"/>
  <c r="Q108" i="4"/>
  <c r="P108" i="4"/>
  <c r="T107" i="4"/>
  <c r="S107" i="4"/>
  <c r="R107" i="4"/>
  <c r="Q107" i="4"/>
  <c r="P107" i="4"/>
  <c r="T106" i="4"/>
  <c r="S106" i="4"/>
  <c r="R106" i="4"/>
  <c r="Q106" i="4"/>
  <c r="P106" i="4"/>
  <c r="M109" i="4"/>
  <c r="L109" i="4"/>
  <c r="K109" i="4"/>
  <c r="J109" i="4"/>
  <c r="I109" i="4"/>
  <c r="M108" i="4"/>
  <c r="L108" i="4"/>
  <c r="K108" i="4"/>
  <c r="J108" i="4"/>
  <c r="I108" i="4"/>
  <c r="M107" i="4"/>
  <c r="L107" i="4"/>
  <c r="K107" i="4"/>
  <c r="J107" i="4"/>
  <c r="I107" i="4"/>
  <c r="M106" i="4"/>
  <c r="L106" i="4"/>
  <c r="K106" i="4"/>
  <c r="J106" i="4"/>
  <c r="I106" i="4"/>
  <c r="C107" i="4"/>
  <c r="D107" i="4"/>
  <c r="E107" i="4"/>
  <c r="F107" i="4"/>
  <c r="C108" i="4"/>
  <c r="D108" i="4"/>
  <c r="E108" i="4"/>
  <c r="F108" i="4"/>
  <c r="C109" i="4"/>
  <c r="D109" i="4"/>
  <c r="E109" i="4"/>
  <c r="F109" i="4"/>
  <c r="B109" i="4"/>
  <c r="B108" i="4"/>
  <c r="B107" i="4"/>
  <c r="C106" i="4"/>
  <c r="D106" i="4"/>
  <c r="E106" i="4"/>
  <c r="F106" i="4"/>
  <c r="B106" i="4"/>
  <c r="T109" i="2"/>
  <c r="I52" i="3"/>
  <c r="T108" i="2"/>
  <c r="H52" i="3"/>
  <c r="T107" i="2"/>
  <c r="G52" i="3"/>
  <c r="R109" i="2"/>
  <c r="I51" i="3"/>
  <c r="R108" i="2"/>
  <c r="H51" i="3"/>
  <c r="R107" i="2"/>
  <c r="G51" i="3"/>
  <c r="S109" i="2"/>
  <c r="I50" i="3"/>
  <c r="S108" i="2"/>
  <c r="H50" i="3"/>
  <c r="S107" i="2"/>
  <c r="G50" i="3"/>
  <c r="Q109" i="2"/>
  <c r="I49" i="3"/>
  <c r="Q108" i="2"/>
  <c r="H49" i="3"/>
  <c r="Q107" i="2"/>
  <c r="G49" i="3"/>
  <c r="M109" i="2"/>
  <c r="I32" i="3"/>
  <c r="M108" i="2"/>
  <c r="H32" i="3"/>
  <c r="M107" i="2"/>
  <c r="G32" i="3"/>
  <c r="K109" i="2"/>
  <c r="I31" i="3"/>
  <c r="K108" i="2"/>
  <c r="H31" i="3"/>
  <c r="K107" i="2"/>
  <c r="G31" i="3"/>
  <c r="L109" i="2"/>
  <c r="I30" i="3"/>
  <c r="L108" i="2"/>
  <c r="H30" i="3"/>
  <c r="L107" i="2"/>
  <c r="G30" i="3"/>
  <c r="J109" i="2"/>
  <c r="I29" i="3"/>
  <c r="J108" i="2"/>
  <c r="H29" i="3"/>
  <c r="J107" i="2"/>
  <c r="G29" i="3"/>
  <c r="I109" i="2"/>
  <c r="I28" i="3"/>
  <c r="I108" i="2"/>
  <c r="H28" i="3"/>
  <c r="I107" i="2"/>
  <c r="G28" i="3"/>
  <c r="F109" i="2"/>
  <c r="I12" i="3"/>
  <c r="F108" i="2"/>
  <c r="H12" i="3"/>
  <c r="F107" i="2"/>
  <c r="G12" i="3"/>
  <c r="D109" i="2"/>
  <c r="I11" i="3"/>
  <c r="D108" i="2"/>
  <c r="H11" i="3"/>
  <c r="D107" i="2"/>
  <c r="G11" i="3"/>
  <c r="E109" i="2"/>
  <c r="I10" i="3"/>
  <c r="E108" i="2"/>
  <c r="H10" i="3"/>
  <c r="E107" i="2"/>
  <c r="G10" i="3"/>
  <c r="C109" i="2"/>
  <c r="I9" i="3"/>
  <c r="C108" i="2"/>
  <c r="H9" i="3"/>
  <c r="C107" i="2"/>
  <c r="G9" i="3"/>
  <c r="P109" i="1"/>
  <c r="I48" i="3"/>
  <c r="P108" i="1"/>
  <c r="H48" i="3"/>
  <c r="P107" i="1"/>
  <c r="G48" i="3"/>
  <c r="T109" i="1"/>
  <c r="I47" i="3"/>
  <c r="T108" i="1"/>
  <c r="H47" i="3"/>
  <c r="T107" i="1"/>
  <c r="G47" i="3"/>
  <c r="R109" i="1"/>
  <c r="I46" i="3"/>
  <c r="R108" i="1"/>
  <c r="H46" i="3"/>
  <c r="R107" i="1"/>
  <c r="G46" i="3"/>
  <c r="S109" i="1"/>
  <c r="I45" i="3"/>
  <c r="S108" i="1"/>
  <c r="H45" i="3"/>
  <c r="S107" i="1"/>
  <c r="G45" i="3"/>
  <c r="Q109" i="1"/>
  <c r="I44" i="3"/>
  <c r="Q108" i="1"/>
  <c r="H44" i="3"/>
  <c r="Q107" i="1"/>
  <c r="G44" i="3"/>
  <c r="I43" i="3"/>
  <c r="H43" i="3"/>
  <c r="G43" i="3"/>
  <c r="M109" i="1"/>
  <c r="I27" i="3"/>
  <c r="M108" i="1"/>
  <c r="H27" i="3"/>
  <c r="M107" i="1"/>
  <c r="G27" i="3"/>
  <c r="K109" i="1"/>
  <c r="I26" i="3"/>
  <c r="K108" i="1"/>
  <c r="H26" i="3"/>
  <c r="K107" i="1"/>
  <c r="G26" i="3"/>
  <c r="L109" i="1"/>
  <c r="I25" i="3"/>
  <c r="L108" i="1"/>
  <c r="H25" i="3"/>
  <c r="L107" i="1"/>
  <c r="G25" i="3"/>
  <c r="J109" i="1"/>
  <c r="I24" i="3"/>
  <c r="J108" i="1"/>
  <c r="H24" i="3"/>
  <c r="J107" i="1"/>
  <c r="G24" i="3"/>
  <c r="I109" i="1"/>
  <c r="I23" i="3"/>
  <c r="I108" i="1"/>
  <c r="H23" i="3"/>
  <c r="I107" i="1"/>
  <c r="G23" i="3"/>
  <c r="B107" i="1"/>
  <c r="G8" i="3"/>
  <c r="B108" i="1"/>
  <c r="H8" i="3"/>
  <c r="B109" i="1"/>
  <c r="I8" i="3"/>
  <c r="C107" i="1"/>
  <c r="G4" i="3"/>
  <c r="C108" i="1"/>
  <c r="H4" i="3"/>
  <c r="C109" i="1"/>
  <c r="I4" i="3"/>
  <c r="E107" i="1"/>
  <c r="G5" i="3"/>
  <c r="E108" i="1"/>
  <c r="H5" i="3"/>
  <c r="E109" i="1"/>
  <c r="I5" i="3"/>
  <c r="D107" i="1"/>
  <c r="G6" i="3"/>
  <c r="D108" i="1"/>
  <c r="H6" i="3"/>
  <c r="D109" i="1"/>
  <c r="I6" i="3"/>
  <c r="F107" i="1"/>
  <c r="G7" i="3"/>
  <c r="F108" i="1"/>
  <c r="H7" i="3"/>
  <c r="F109" i="1"/>
  <c r="I7" i="3"/>
  <c r="I3" i="3"/>
  <c r="H3" i="3"/>
  <c r="G3" i="3"/>
  <c r="AK109" i="2"/>
  <c r="W109" i="2"/>
  <c r="AK108" i="2"/>
  <c r="W108" i="2"/>
  <c r="AK107" i="2"/>
  <c r="W107" i="2"/>
  <c r="P109" i="2"/>
  <c r="P108" i="2"/>
  <c r="P107" i="2"/>
  <c r="B109" i="2"/>
  <c r="B108" i="2"/>
  <c r="B107" i="2"/>
</calcChain>
</file>

<file path=xl/sharedStrings.xml><?xml version="1.0" encoding="utf-8"?>
<sst xmlns="http://schemas.openxmlformats.org/spreadsheetml/2006/main" count="940" uniqueCount="88">
  <si>
    <t>ECB</t>
  </si>
  <si>
    <t>CBC</t>
  </si>
  <si>
    <t>OFB</t>
  </si>
  <si>
    <t>CFB</t>
  </si>
  <si>
    <t>CTR</t>
  </si>
  <si>
    <t>Time</t>
  </si>
  <si>
    <t>(ms)</t>
  </si>
  <si>
    <t>Mode</t>
  </si>
  <si>
    <t>Average</t>
  </si>
  <si>
    <t>Median</t>
  </si>
  <si>
    <t>Min</t>
  </si>
  <si>
    <t>Max</t>
  </si>
  <si>
    <t>Key size (B)</t>
  </si>
  <si>
    <t>16B</t>
  </si>
  <si>
    <t>32B</t>
  </si>
  <si>
    <t>24B</t>
  </si>
  <si>
    <t>16B_Key_Encrypt</t>
  </si>
  <si>
    <t>24B_Key_Encrypt</t>
  </si>
  <si>
    <t>32B_Key_Encrypt</t>
  </si>
  <si>
    <t>16B_Key_Decrypt</t>
  </si>
  <si>
    <t>24B_Key_Decrypt</t>
  </si>
  <si>
    <t>32B_Key_Decrypt</t>
  </si>
  <si>
    <t>Decrypt</t>
  </si>
  <si>
    <t>Round</t>
  </si>
  <si>
    <t>ROUND</t>
  </si>
  <si>
    <t>Metric</t>
  </si>
  <si>
    <t>MIN</t>
  </si>
  <si>
    <t>AVG</t>
  </si>
  <si>
    <t>MAX</t>
  </si>
  <si>
    <t>MED</t>
  </si>
  <si>
    <t>ciphertextcbc.txt</t>
  </si>
  <si>
    <t>ciphertextcfb.txt</t>
  </si>
  <si>
    <t>ciphertextctr.txt</t>
  </si>
  <si>
    <t>ciphertextecb.txt</t>
  </si>
  <si>
    <t>ciphertextofb.txt</t>
  </si>
  <si>
    <t>plaintextcbc.txt</t>
  </si>
  <si>
    <t>plaintextcfb.txt</t>
  </si>
  <si>
    <t>plaintextctr.txt</t>
  </si>
  <si>
    <t>plaintextecb.txt</t>
  </si>
  <si>
    <t>plaintextofb.txt</t>
  </si>
  <si>
    <t>File</t>
  </si>
  <si>
    <t>Encryption Summary</t>
  </si>
  <si>
    <t>Decryption Summary</t>
  </si>
  <si>
    <t>16x16B</t>
  </si>
  <si>
    <t>24x16B</t>
  </si>
  <si>
    <t>32x16B</t>
  </si>
  <si>
    <t>16x32B</t>
  </si>
  <si>
    <t>24x32B</t>
  </si>
  <si>
    <t>32x32B</t>
  </si>
  <si>
    <t>16x10</t>
  </si>
  <si>
    <t>24x10</t>
  </si>
  <si>
    <t>32x10</t>
  </si>
  <si>
    <t>16x256</t>
  </si>
  <si>
    <t>24x256</t>
  </si>
  <si>
    <t>32x256</t>
  </si>
  <si>
    <t>ode</t>
  </si>
  <si>
    <t>16x16</t>
  </si>
  <si>
    <t>24x16</t>
  </si>
  <si>
    <t>32x16</t>
  </si>
  <si>
    <t>16x32</t>
  </si>
  <si>
    <t>24x32</t>
  </si>
  <si>
    <t>32x32</t>
  </si>
  <si>
    <t>File Summary of Decryption Results (key_size x file_size)</t>
  </si>
  <si>
    <t>File Summary of Encryption Results (key_size x file_size)</t>
  </si>
  <si>
    <t>Test Size (KB)</t>
  </si>
  <si>
    <t>Key Size</t>
  </si>
  <si>
    <t>Mode/Input Size (KB)</t>
  </si>
  <si>
    <t>Mode/Key Size</t>
  </si>
  <si>
    <t>Input Size (KB)</t>
  </si>
  <si>
    <t>Average (ms)</t>
  </si>
  <si>
    <t>Min (ms)</t>
  </si>
  <si>
    <t>Max (ms)</t>
  </si>
  <si>
    <t>Median (ms)</t>
  </si>
  <si>
    <t>Plain size (B)</t>
  </si>
  <si>
    <t>Cipher size (B)</t>
  </si>
  <si>
    <t xml:space="preserve">AES Encryption Performance Using </t>
  </si>
  <si>
    <t xml:space="preserve">AES Decryption Performance Using </t>
  </si>
  <si>
    <t>KB Input</t>
  </si>
  <si>
    <t>&lt;-- Change This and select 1 value only</t>
  </si>
  <si>
    <t>Key Size (B)</t>
  </si>
  <si>
    <t>Key Size (KB)</t>
  </si>
  <si>
    <t>&lt;-- Change me and select only 1 value</t>
  </si>
  <si>
    <t xml:space="preserve">Key Size (B) </t>
  </si>
  <si>
    <t>Mode_Key</t>
  </si>
  <si>
    <t>Throughput</t>
  </si>
  <si>
    <t>(All)</t>
  </si>
  <si>
    <t>Throughput (KB/s)</t>
  </si>
  <si>
    <t>Average of Throughput (KB/s)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</si>
</sst>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"/>
  </numFmts>
  <fonts count="11" x14ac:knownFonts="1">
    <font>
      <sz val="12"/>
      <color theme="1"/>
      <name val="Calibri"/>
      <family val="2"/>
      <scheme val="minor"/>
    </font>
    <font>
      <sz val="12"/>
      <color rgb="FF9C0006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rgb="FFFFFFFF"/>
      <name val="Calibri"/>
      <scheme val="minor"/>
    </font>
    <font>
      <sz val="12"/>
      <color rgb="FF000000"/>
      <name val="Calibri"/>
      <family val="2"/>
      <scheme val="minor"/>
    </font>
    <font>
      <sz val="12"/>
      <color rgb="FFFFFFFF"/>
      <name val="Calibri"/>
      <scheme val="minor"/>
    </font>
    <font>
      <b/>
      <sz val="12"/>
      <color theme="1"/>
      <name val="Calibri"/>
      <family val="2"/>
    </font>
    <font>
      <sz val="12"/>
      <color theme="1"/>
      <name val="Calibri"/>
      <family val="2"/>
    </font>
  </fonts>
  <fills count="10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FFCC"/>
      </patternFill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4F81BD"/>
        <bgColor rgb="FF4F81BD"/>
      </patternFill>
    </fill>
    <fill>
      <patternFill patternType="solid">
        <fgColor rgb="FFB8CCE4"/>
        <bgColor rgb="FFB8CCE4"/>
      </patternFill>
    </fill>
    <fill>
      <patternFill patternType="solid">
        <fgColor rgb="FFDCE6F1"/>
        <bgColor rgb="FFDCE6F1"/>
      </patternFill>
    </fill>
  </fills>
  <borders count="24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/>
      <top/>
      <bottom style="thick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/>
      <top style="thick">
        <color theme="0"/>
      </top>
      <bottom/>
      <diagonal/>
    </border>
    <border>
      <left style="thin">
        <color theme="0"/>
      </left>
      <right/>
      <top/>
      <bottom/>
      <diagonal/>
    </border>
    <border>
      <left/>
      <right style="thin">
        <color rgb="FFFFFFFF"/>
      </right>
      <top/>
      <bottom style="thick">
        <color rgb="FFFFFFFF"/>
      </bottom>
      <diagonal/>
    </border>
    <border>
      <left style="thin">
        <color rgb="FFFFFFFF"/>
      </left>
      <right style="thin">
        <color rgb="FFFFFFFF"/>
      </right>
      <top/>
      <bottom style="thick">
        <color rgb="FFFFFFFF"/>
      </bottom>
      <diagonal/>
    </border>
    <border>
      <left style="thin">
        <color rgb="FFFFFFFF"/>
      </left>
      <right/>
      <top/>
      <bottom style="thick">
        <color rgb="FFFFFFFF"/>
      </bottom>
      <diagonal/>
    </border>
    <border>
      <left/>
      <right/>
      <top/>
      <bottom style="thick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/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/>
      <diagonal/>
    </border>
    <border>
      <left/>
      <right style="thin">
        <color rgb="FFFFFFFF"/>
      </right>
      <top/>
      <bottom/>
      <diagonal/>
    </border>
    <border>
      <left/>
      <right/>
      <top style="thick">
        <color theme="0"/>
      </top>
      <bottom/>
      <diagonal/>
    </border>
    <border>
      <left/>
      <right/>
      <top style="thin">
        <color theme="0"/>
      </top>
      <bottom/>
      <diagonal/>
    </border>
  </borders>
  <cellStyleXfs count="162">
    <xf numFmtId="0" fontId="0" fillId="0" borderId="0"/>
    <xf numFmtId="0" fontId="1" fillId="2" borderId="0" applyNumberFormat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63">
    <xf numFmtId="0" fontId="0" fillId="0" borderId="0" xfId="0"/>
    <xf numFmtId="11" fontId="0" fillId="0" borderId="0" xfId="0" applyNumberFormat="1"/>
    <xf numFmtId="0" fontId="2" fillId="4" borderId="2" xfId="0" applyFont="1" applyFill="1" applyBorder="1"/>
    <xf numFmtId="0" fontId="2" fillId="4" borderId="3" xfId="0" applyFont="1" applyFill="1" applyBorder="1"/>
    <xf numFmtId="0" fontId="2" fillId="4" borderId="4" xfId="0" applyFont="1" applyFill="1" applyBorder="1"/>
    <xf numFmtId="0" fontId="0" fillId="5" borderId="5" xfId="0" applyFont="1" applyFill="1" applyBorder="1"/>
    <xf numFmtId="0" fontId="0" fillId="5" borderId="6" xfId="0" applyFont="1" applyFill="1" applyBorder="1"/>
    <xf numFmtId="0" fontId="0" fillId="5" borderId="7" xfId="0" applyFont="1" applyFill="1" applyBorder="1"/>
    <xf numFmtId="0" fontId="0" fillId="6" borderId="5" xfId="0" applyFont="1" applyFill="1" applyBorder="1"/>
    <xf numFmtId="0" fontId="0" fillId="6" borderId="6" xfId="0" applyFont="1" applyFill="1" applyBorder="1"/>
    <xf numFmtId="0" fontId="0" fillId="6" borderId="7" xfId="0" applyFont="1" applyFill="1" applyBorder="1"/>
    <xf numFmtId="0" fontId="0" fillId="6" borderId="8" xfId="0" applyFont="1" applyFill="1" applyBorder="1"/>
    <xf numFmtId="0" fontId="0" fillId="6" borderId="9" xfId="0" applyFont="1" applyFill="1" applyBorder="1"/>
    <xf numFmtId="0" fontId="0" fillId="6" borderId="10" xfId="0" applyFont="1" applyFill="1" applyBorder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 applyBorder="1"/>
    <xf numFmtId="0" fontId="0" fillId="5" borderId="10" xfId="0" applyFont="1" applyFill="1" applyBorder="1"/>
    <xf numFmtId="11" fontId="2" fillId="4" borderId="3" xfId="0" applyNumberFormat="1" applyFont="1" applyFill="1" applyBorder="1"/>
    <xf numFmtId="11" fontId="2" fillId="4" borderId="4" xfId="0" applyNumberFormat="1" applyFont="1" applyFill="1" applyBorder="1"/>
    <xf numFmtId="0" fontId="2" fillId="4" borderId="0" xfId="0" applyFont="1" applyFill="1" applyBorder="1"/>
    <xf numFmtId="0" fontId="6" fillId="7" borderId="13" xfId="0" applyFont="1" applyFill="1" applyBorder="1"/>
    <xf numFmtId="0" fontId="6" fillId="7" borderId="14" xfId="0" applyFont="1" applyFill="1" applyBorder="1"/>
    <xf numFmtId="11" fontId="6" fillId="7" borderId="14" xfId="0" applyNumberFormat="1" applyFont="1" applyFill="1" applyBorder="1"/>
    <xf numFmtId="11" fontId="6" fillId="7" borderId="15" xfId="0" applyNumberFormat="1" applyFont="1" applyFill="1" applyBorder="1"/>
    <xf numFmtId="0" fontId="7" fillId="0" borderId="0" xfId="0" applyFont="1"/>
    <xf numFmtId="11" fontId="7" fillId="0" borderId="0" xfId="0" applyNumberFormat="1" applyFont="1"/>
    <xf numFmtId="0" fontId="7" fillId="8" borderId="17" xfId="0" applyFont="1" applyFill="1" applyBorder="1"/>
    <xf numFmtId="0" fontId="7" fillId="8" borderId="18" xfId="0" applyFont="1" applyFill="1" applyBorder="1"/>
    <xf numFmtId="0" fontId="7" fillId="9" borderId="17" xfId="0" applyFont="1" applyFill="1" applyBorder="1"/>
    <xf numFmtId="0" fontId="7" fillId="9" borderId="19" xfId="0" applyFont="1" applyFill="1" applyBorder="1"/>
    <xf numFmtId="0" fontId="7" fillId="8" borderId="19" xfId="0" applyFont="1" applyFill="1" applyBorder="1"/>
    <xf numFmtId="0" fontId="7" fillId="9" borderId="20" xfId="0" applyFont="1" applyFill="1" applyBorder="1"/>
    <xf numFmtId="0" fontId="7" fillId="9" borderId="21" xfId="0" applyFont="1" applyFill="1" applyBorder="1"/>
    <xf numFmtId="0" fontId="8" fillId="7" borderId="13" xfId="0" applyFont="1" applyFill="1" applyBorder="1"/>
    <xf numFmtId="0" fontId="8" fillId="7" borderId="14" xfId="0" applyFont="1" applyFill="1" applyBorder="1"/>
    <xf numFmtId="11" fontId="8" fillId="7" borderId="14" xfId="0" applyNumberFormat="1" applyFont="1" applyFill="1" applyBorder="1"/>
    <xf numFmtId="11" fontId="8" fillId="7" borderId="15" xfId="0" applyNumberFormat="1" applyFont="1" applyFill="1" applyBorder="1"/>
    <xf numFmtId="11" fontId="8" fillId="7" borderId="13" xfId="0" applyNumberFormat="1" applyFont="1" applyFill="1" applyBorder="1"/>
    <xf numFmtId="11" fontId="8" fillId="7" borderId="16" xfId="0" applyNumberFormat="1" applyFont="1" applyFill="1" applyBorder="1"/>
    <xf numFmtId="0" fontId="3" fillId="4" borderId="2" xfId="0" applyFont="1" applyFill="1" applyBorder="1"/>
    <xf numFmtId="0" fontId="3" fillId="4" borderId="3" xfId="0" applyFont="1" applyFill="1" applyBorder="1"/>
    <xf numFmtId="0" fontId="3" fillId="4" borderId="4" xfId="0" applyFont="1" applyFill="1" applyBorder="1"/>
    <xf numFmtId="0" fontId="6" fillId="7" borderId="15" xfId="0" applyFont="1" applyFill="1" applyBorder="1"/>
    <xf numFmtId="0" fontId="2" fillId="4" borderId="12" xfId="0" applyFont="1" applyFill="1" applyBorder="1"/>
    <xf numFmtId="0" fontId="0" fillId="5" borderId="22" xfId="0" applyFont="1" applyFill="1" applyBorder="1"/>
    <xf numFmtId="0" fontId="0" fillId="5" borderId="11" xfId="0" applyFont="1" applyFill="1" applyBorder="1"/>
    <xf numFmtId="0" fontId="0" fillId="6" borderId="23" xfId="0" applyFont="1" applyFill="1" applyBorder="1"/>
    <xf numFmtId="0" fontId="0" fillId="5" borderId="23" xfId="0" applyFont="1" applyFill="1" applyBorder="1"/>
    <xf numFmtId="20" fontId="0" fillId="0" borderId="0" xfId="0" applyNumberFormat="1"/>
    <xf numFmtId="164" fontId="0" fillId="0" borderId="0" xfId="0" applyNumberFormat="1"/>
    <xf numFmtId="164" fontId="0" fillId="5" borderId="11" xfId="0" applyNumberFormat="1" applyFont="1" applyFill="1" applyBorder="1"/>
    <xf numFmtId="164" fontId="0" fillId="6" borderId="10" xfId="0" applyNumberFormat="1" applyFont="1" applyFill="1" applyBorder="1"/>
    <xf numFmtId="164" fontId="0" fillId="5" borderId="10" xfId="0" applyNumberFormat="1" applyFont="1" applyFill="1" applyBorder="1"/>
    <xf numFmtId="0" fontId="0" fillId="3" borderId="1" xfId="0" applyFill="1" applyBorder="1"/>
    <xf numFmtId="0" fontId="7" fillId="0" borderId="0" xfId="0" applyFont="1" applyAlignment="1">
      <alignment horizontal="left"/>
    </xf>
    <xf numFmtId="0" fontId="0" fillId="0" borderId="0" xfId="0" quotePrefix="1"/>
    <xf numFmtId="0" fontId="1" fillId="2" borderId="0" xfId="1"/>
    <xf numFmtId="0" fontId="0" fillId="0" borderId="0" xfId="0" applyAlignment="1"/>
    <xf numFmtId="0" fontId="0" fillId="0" borderId="0" xfId="0" applyAlignment="1">
      <alignment horizontal="center"/>
    </xf>
    <xf numFmtId="0" fontId="9" fillId="0" borderId="0" xfId="0" pivotButton="1" applyFont="1"/>
    <xf numFmtId="0" fontId="10" fillId="0" borderId="0" xfId="0" pivotButton="1" applyFont="1"/>
  </cellXfs>
  <cellStyles count="162">
    <cellStyle name="Bad" xfId="1" builtinId="27"/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3" builtinId="9" hidden="1"/>
    <cellStyle name="Followed Hyperlink" xfId="115" builtinId="9" hidden="1"/>
    <cellStyle name="Followed Hyperlink" xfId="117" builtinId="9" hidden="1"/>
    <cellStyle name="Followed Hyperlink" xfId="119" builtinId="9" hidden="1"/>
    <cellStyle name="Followed Hyperlink" xfId="121" builtinId="9" hidden="1"/>
    <cellStyle name="Followed Hyperlink" xfId="123" builtinId="9" hidden="1"/>
    <cellStyle name="Followed Hyperlink" xfId="125" builtinId="9" hidden="1"/>
    <cellStyle name="Followed Hyperlink" xfId="127" builtinId="9" hidden="1"/>
    <cellStyle name="Followed Hyperlink" xfId="129" builtinId="9" hidden="1"/>
    <cellStyle name="Followed Hyperlink" xfId="131" builtinId="9" hidden="1"/>
    <cellStyle name="Followed Hyperlink" xfId="133" builtinId="9" hidden="1"/>
    <cellStyle name="Followed Hyperlink" xfId="135" builtinId="9" hidden="1"/>
    <cellStyle name="Followed Hyperlink" xfId="137" builtinId="9" hidden="1"/>
    <cellStyle name="Followed Hyperlink" xfId="139" builtinId="9" hidden="1"/>
    <cellStyle name="Followed Hyperlink" xfId="141" builtinId="9" hidden="1"/>
    <cellStyle name="Followed Hyperlink" xfId="143" builtinId="9" hidden="1"/>
    <cellStyle name="Followed Hyperlink" xfId="145" builtinId="9" hidden="1"/>
    <cellStyle name="Followed Hyperlink" xfId="147" builtinId="9" hidden="1"/>
    <cellStyle name="Followed Hyperlink" xfId="149" builtinId="9" hidden="1"/>
    <cellStyle name="Followed Hyperlink" xfId="151" builtinId="9" hidden="1"/>
    <cellStyle name="Followed Hyperlink" xfId="153" builtinId="9" hidden="1"/>
    <cellStyle name="Followed Hyperlink" xfId="155" builtinId="9" hidden="1"/>
    <cellStyle name="Followed Hyperlink" xfId="157" builtinId="9" hidden="1"/>
    <cellStyle name="Followed Hyperlink" xfId="159" builtinId="9" hidden="1"/>
    <cellStyle name="Followed Hyperlink" xfId="161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 hidden="1"/>
    <cellStyle name="Hyperlink" xfId="112" builtinId="8" hidden="1"/>
    <cellStyle name="Hyperlink" xfId="114" builtinId="8" hidden="1"/>
    <cellStyle name="Hyperlink" xfId="116" builtinId="8" hidden="1"/>
    <cellStyle name="Hyperlink" xfId="118" builtinId="8" hidden="1"/>
    <cellStyle name="Hyperlink" xfId="120" builtinId="8" hidden="1"/>
    <cellStyle name="Hyperlink" xfId="122" builtinId="8" hidden="1"/>
    <cellStyle name="Hyperlink" xfId="124" builtinId="8" hidden="1"/>
    <cellStyle name="Hyperlink" xfId="126" builtinId="8" hidden="1"/>
    <cellStyle name="Hyperlink" xfId="128" builtinId="8" hidden="1"/>
    <cellStyle name="Hyperlink" xfId="130" builtinId="8" hidden="1"/>
    <cellStyle name="Hyperlink" xfId="132" builtinId="8" hidden="1"/>
    <cellStyle name="Hyperlink" xfId="134" builtinId="8" hidden="1"/>
    <cellStyle name="Hyperlink" xfId="136" builtinId="8" hidden="1"/>
    <cellStyle name="Hyperlink" xfId="138" builtinId="8" hidden="1"/>
    <cellStyle name="Hyperlink" xfId="140" builtinId="8" hidden="1"/>
    <cellStyle name="Hyperlink" xfId="142" builtinId="8" hidden="1"/>
    <cellStyle name="Hyperlink" xfId="144" builtinId="8" hidden="1"/>
    <cellStyle name="Hyperlink" xfId="146" builtinId="8" hidden="1"/>
    <cellStyle name="Hyperlink" xfId="148" builtinId="8" hidden="1"/>
    <cellStyle name="Hyperlink" xfId="150" builtinId="8" hidden="1"/>
    <cellStyle name="Hyperlink" xfId="152" builtinId="8" hidden="1"/>
    <cellStyle name="Hyperlink" xfId="154" builtinId="8" hidden="1"/>
    <cellStyle name="Hyperlink" xfId="156" builtinId="8" hidden="1"/>
    <cellStyle name="Hyperlink" xfId="158" builtinId="8" hidden="1"/>
    <cellStyle name="Hyperlink" xfId="160" builtinId="8" hidden="1"/>
    <cellStyle name="Normal" xfId="0" builtinId="0"/>
  </cellStyles>
  <dxfs count="402"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0" formatCode="General"/>
    </dxf>
    <dxf>
      <fill>
        <patternFill patternType="solid">
          <fgColor indexed="65"/>
          <bgColor rgb="FFFFFFCC"/>
        </patternFill>
      </fill>
      <border diagonalUp="0" diagonalDown="0" outline="0">
        <left style="thin">
          <color rgb="FFB2B2B2"/>
        </left>
        <right style="thin">
          <color rgb="FFB2B2B2"/>
        </right>
        <top style="thin">
          <color rgb="FFB2B2B2"/>
        </top>
        <bottom style="thin">
          <color rgb="FFB2B2B2"/>
        </bottom>
      </border>
    </dxf>
    <dxf>
      <font>
        <b val="0"/>
      </font>
    </dxf>
    <dxf>
      <font>
        <b val="0"/>
      </font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0" formatCode="General"/>
    </dxf>
    <dxf>
      <fill>
        <patternFill patternType="solid">
          <fgColor indexed="65"/>
          <bgColor rgb="FFFFFFCC"/>
        </patternFill>
      </fill>
      <border diagonalUp="0" diagonalDown="0" outline="0">
        <left style="thin">
          <color rgb="FFB2B2B2"/>
        </left>
        <right style="thin">
          <color rgb="FFB2B2B2"/>
        </right>
        <top style="thin">
          <color rgb="FFB2B2B2"/>
        </top>
        <bottom style="thin">
          <color rgb="FFB2B2B2"/>
        </bottom>
      </border>
    </dxf>
    <dxf>
      <font>
        <b val="0"/>
      </font>
    </dxf>
    <dxf>
      <font>
        <b val="0"/>
      </font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0" formatCode="General"/>
    </dxf>
    <dxf>
      <fill>
        <patternFill patternType="solid">
          <fgColor indexed="65"/>
          <bgColor rgb="FFFFFFCC"/>
        </patternFill>
      </fill>
      <border diagonalUp="0" diagonalDown="0" outline="0">
        <left style="thin">
          <color rgb="FFB2B2B2"/>
        </left>
        <right style="thin">
          <color rgb="FFB2B2B2"/>
        </right>
        <top style="thin">
          <color rgb="FFB2B2B2"/>
        </top>
        <bottom style="thin">
          <color rgb="FFB2B2B2"/>
        </bottom>
      </border>
    </dxf>
    <dxf>
      <font>
        <b/>
      </font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0" formatCode="General"/>
    </dxf>
    <dxf>
      <fill>
        <patternFill patternType="solid">
          <fgColor indexed="65"/>
          <bgColor rgb="FFFFFFCC"/>
        </patternFill>
      </fill>
      <border diagonalUp="0" diagonalDown="0" outline="0">
        <left style="thin">
          <color rgb="FFB2B2B2"/>
        </left>
        <right style="thin">
          <color rgb="FFB2B2B2"/>
        </right>
        <top style="thin">
          <color rgb="FFB2B2B2"/>
        </top>
        <bottom style="thin">
          <color rgb="FFB2B2B2"/>
        </bottom>
      </border>
    </dxf>
    <dxf>
      <font>
        <b/>
      </font>
    </dxf>
    <dxf>
      <font>
        <b val="0"/>
      </font>
    </dxf>
    <dxf>
      <font>
        <b val="0"/>
      </font>
    </dxf>
    <dxf>
      <font>
        <b/>
      </font>
    </dxf>
    <dxf>
      <border outline="0">
        <bottom style="thick">
          <color rgb="FFFFFFFF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fill>
        <patternFill patternType="solid">
          <fgColor rgb="FFB8CCE4"/>
          <bgColor rgb="FFB8CCE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numFmt numFmtId="15" formatCode="0.00E+00"/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border outline="0">
        <bottom style="thick">
          <color rgb="FFFFFFFF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fill>
        <patternFill patternType="solid">
          <fgColor rgb="FFB8CCE4"/>
          <bgColor rgb="FFB8CCE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numFmt numFmtId="15" formatCode="0.00E+00"/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border outline="0">
        <top style="thin">
          <color rgb="FFFFFFFF"/>
        </top>
      </border>
    </dxf>
    <dxf>
      <border outline="0">
        <bottom style="thick">
          <color rgb="FFFFFFFF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fill>
        <patternFill patternType="solid">
          <fgColor rgb="FFB8CCE4"/>
          <bgColor rgb="FFB8CCE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numFmt numFmtId="15" formatCode="0.00E+00"/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border outline="0">
        <bottom style="thick">
          <color rgb="FFFFFFFF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fill>
        <patternFill patternType="solid">
          <fgColor rgb="FFB8CCE4"/>
          <bgColor rgb="FFB8CCE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numFmt numFmtId="15" formatCode="0.00E+00"/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border outline="0">
        <bottom style="thick">
          <color rgb="FFFFFFFF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fill>
        <patternFill patternType="solid">
          <fgColor rgb="FFB8CCE4"/>
          <bgColor rgb="FFB8CCE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numFmt numFmtId="15" formatCode="0.00E+00"/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border outline="0">
        <top style="thin">
          <color rgb="FFFFFFFF"/>
        </top>
      </border>
    </dxf>
    <dxf>
      <border outline="0">
        <bottom style="thick">
          <color rgb="FFFFFFFF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fill>
        <patternFill patternType="solid">
          <fgColor rgb="FFB8CCE4"/>
          <bgColor rgb="FFB8CCE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numFmt numFmtId="15" formatCode="0.00E+00"/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numFmt numFmtId="15" formatCode="0.00E+00"/>
    </dxf>
    <dxf>
      <numFmt numFmtId="15" formatCode="0.00E+00"/>
      <border diagonalUp="0" diagonalDown="0" outline="0">
        <left/>
        <right/>
        <top/>
        <bottom/>
      </border>
    </dxf>
    <dxf>
      <numFmt numFmtId="15" formatCode="0.00E+00"/>
    </dxf>
    <dxf>
      <numFmt numFmtId="15" formatCode="0.00E+00"/>
      <border diagonalUp="0" diagonalDown="0" outline="0">
        <left/>
        <right/>
        <top/>
        <bottom/>
      </border>
    </dxf>
    <dxf>
      <numFmt numFmtId="15" formatCode="0.00E+00"/>
    </dxf>
    <dxf>
      <numFmt numFmtId="15" formatCode="0.00E+00"/>
      <border diagonalUp="0" diagonalDown="0" outline="0">
        <left/>
        <right/>
        <top/>
        <bottom/>
      </border>
    </dxf>
    <dxf>
      <numFmt numFmtId="15" formatCode="0.00E+00"/>
    </dxf>
    <dxf>
      <numFmt numFmtId="15" formatCode="0.00E+0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4"/>
          <bgColor theme="4"/>
        </patternFill>
      </fill>
      <border diagonalUp="0" diagonalDown="0" outline="0">
        <left/>
        <right style="thin">
          <color theme="0"/>
        </right>
        <top style="thick">
          <color theme="0"/>
        </top>
        <bottom/>
      </border>
    </dxf>
    <dxf>
      <numFmt numFmtId="15" formatCode="0.00E+00"/>
    </dxf>
    <dxf>
      <numFmt numFmtId="15" formatCode="0.00E+00"/>
      <border diagonalUp="0" diagonalDown="0" outline="0">
        <left/>
        <right/>
        <top/>
        <bottom/>
      </border>
    </dxf>
    <dxf>
      <numFmt numFmtId="15" formatCode="0.00E+00"/>
    </dxf>
    <dxf>
      <numFmt numFmtId="15" formatCode="0.00E+00"/>
      <border diagonalUp="0" diagonalDown="0" outline="0">
        <left/>
        <right/>
        <top/>
        <bottom/>
      </border>
    </dxf>
    <dxf>
      <numFmt numFmtId="15" formatCode="0.00E+00"/>
    </dxf>
    <dxf>
      <numFmt numFmtId="15" formatCode="0.00E+00"/>
      <border diagonalUp="0" diagonalDown="0" outline="0">
        <left/>
        <right/>
        <top/>
        <bottom/>
      </border>
    </dxf>
    <dxf>
      <numFmt numFmtId="15" formatCode="0.00E+00"/>
    </dxf>
    <dxf>
      <numFmt numFmtId="15" formatCode="0.00E+00"/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outline="0">
        <top style="thin">
          <color rgb="FFFFFFFF"/>
        </top>
      </border>
    </dxf>
    <dxf>
      <border outline="0">
        <bottom style="thick">
          <color rgb="FFFFFFF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numFmt numFmtId="15" formatCode="0.00E+00"/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border outline="0">
        <top style="thin">
          <color rgb="FFFFFFFF"/>
        </top>
      </border>
    </dxf>
    <dxf>
      <border outline="0">
        <bottom style="thick">
          <color rgb="FFFFFFF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numFmt numFmtId="15" formatCode="0.00E+00"/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border outline="0">
        <top style="thin">
          <color rgb="FFFFFFFF"/>
        </top>
      </border>
    </dxf>
    <dxf>
      <border outline="0">
        <bottom style="thick">
          <color rgb="FFFFFFF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numFmt numFmtId="15" formatCode="0.00E+00"/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border outline="0">
        <top style="thin">
          <color rgb="FFFFFFFF"/>
        </top>
      </border>
    </dxf>
    <dxf>
      <border outline="0">
        <bottom style="thick">
          <color rgb="FFFFFFF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numFmt numFmtId="15" formatCode="0.00E+00"/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border outline="0">
        <top style="thin">
          <color rgb="FFFFFFFF"/>
        </top>
      </border>
    </dxf>
    <dxf>
      <border outline="0">
        <bottom style="thick">
          <color rgb="FFFFFFF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numFmt numFmtId="15" formatCode="0.00E+00"/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numFmt numFmtId="15" formatCode="0.00E+00"/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border outline="0">
        <bottom style="thick">
          <color rgb="FFFFFFF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border outline="0">
        <bottom style="thick">
          <color rgb="FFFFFFF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border outline="0">
        <bottom style="thick">
          <color rgb="FFFFFFF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border outline="0">
        <bottom style="thick">
          <color rgb="FFFFFFF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border outline="0">
        <bottom style="thick">
          <color rgb="FFFFFFF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border outline="0">
        <bottom style="thick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</dxf>
    <dxf>
      <border outline="0">
        <bottom style="thick">
          <color rgb="FFFFFFFF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numFmt numFmtId="15" formatCode="0.00E+00"/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</dxf>
    <dxf>
      <border outline="0">
        <bottom style="thick">
          <color rgb="FFFFFFFF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numFmt numFmtId="15" formatCode="0.00E+00"/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border outline="0">
        <top style="thin">
          <color rgb="FFFFFFFF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</dxf>
    <dxf>
      <border outline="0">
        <bottom style="thick">
          <color rgb="FFFFFFFF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numFmt numFmtId="15" formatCode="0.00E+00"/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</dxf>
    <dxf>
      <border outline="0">
        <bottom style="thick">
          <color rgb="FFFFFFFF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numFmt numFmtId="15" formatCode="0.00E+00"/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</dxf>
    <dxf>
      <border outline="0">
        <bottom style="thick">
          <color rgb="FFFFFFFF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numFmt numFmtId="15" formatCode="0.00E+00"/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border outline="0">
        <top style="thin">
          <color rgb="FFFFFFFF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</dxf>
    <dxf>
      <border outline="0">
        <bottom style="thick">
          <color rgb="FFFFFFFF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numFmt numFmtId="15" formatCode="0.00E+00"/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numFmt numFmtId="15" formatCode="0.00E+00"/>
      <border diagonalUp="0" diagonalDown="0" outline="0">
        <left/>
        <right/>
        <top/>
        <bottom/>
      </border>
    </dxf>
    <dxf>
      <numFmt numFmtId="15" formatCode="0.00E+00"/>
    </dxf>
    <dxf>
      <numFmt numFmtId="15" formatCode="0.00E+00"/>
      <border diagonalUp="0" diagonalDown="0" outline="0">
        <left/>
        <right/>
        <top/>
        <bottom/>
      </border>
    </dxf>
    <dxf>
      <numFmt numFmtId="15" formatCode="0.00E+00"/>
    </dxf>
    <dxf>
      <numFmt numFmtId="15" formatCode="0.00E+00"/>
      <border diagonalUp="0" diagonalDown="0" outline="0">
        <left/>
        <right/>
        <top/>
        <bottom/>
      </border>
    </dxf>
    <dxf>
      <numFmt numFmtId="15" formatCode="0.00E+00"/>
    </dxf>
    <dxf>
      <numFmt numFmtId="15" formatCode="0.00E+00"/>
      <border diagonalUp="0" diagonalDown="0" outline="0">
        <left/>
        <right/>
        <top/>
        <bottom/>
      </border>
    </dxf>
    <dxf>
      <numFmt numFmtId="15" formatCode="0.00E+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4"/>
          <bgColor theme="4"/>
        </patternFill>
      </fill>
      <border diagonalUp="0" diagonalDown="0" outline="0">
        <left/>
        <right style="thin">
          <color theme="0"/>
        </right>
        <top style="thick">
          <color theme="0"/>
        </top>
        <bottom/>
      </border>
    </dxf>
    <dxf>
      <numFmt numFmtId="15" formatCode="0.00E+00"/>
      <border diagonalUp="0" diagonalDown="0" outline="0">
        <left/>
        <right/>
        <top/>
        <bottom/>
      </border>
    </dxf>
    <dxf>
      <numFmt numFmtId="15" formatCode="0.00E+00"/>
    </dxf>
    <dxf>
      <numFmt numFmtId="15" formatCode="0.00E+00"/>
      <border diagonalUp="0" diagonalDown="0" outline="0">
        <left/>
        <right/>
        <top/>
        <bottom/>
      </border>
    </dxf>
    <dxf>
      <numFmt numFmtId="15" formatCode="0.00E+00"/>
    </dxf>
    <dxf>
      <numFmt numFmtId="15" formatCode="0.00E+00"/>
      <border diagonalUp="0" diagonalDown="0" outline="0">
        <left/>
        <right/>
        <top/>
        <bottom/>
      </border>
    </dxf>
    <dxf>
      <numFmt numFmtId="15" formatCode="0.00E+00"/>
    </dxf>
    <dxf>
      <numFmt numFmtId="15" formatCode="0.00E+00"/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border outline="0">
        <top style="thin">
          <color theme="0"/>
        </top>
      </border>
    </dxf>
    <dxf>
      <border outline="0">
        <bottom style="thick">
          <color rgb="FFFFFFF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numFmt numFmtId="15" formatCode="0.00E+00"/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border outline="0">
        <top style="thin">
          <color theme="0"/>
        </top>
      </border>
    </dxf>
    <dxf>
      <border outline="0">
        <bottom style="thick">
          <color rgb="FFFFFFF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numFmt numFmtId="15" formatCode="0.00E+00"/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border outline="0">
        <top style="thin">
          <color theme="0"/>
        </top>
      </border>
    </dxf>
    <dxf>
      <border outline="0">
        <bottom style="thick">
          <color rgb="FFFFFFF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numFmt numFmtId="15" formatCode="0.00E+00"/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border outline="0">
        <top style="thin">
          <color theme="0"/>
        </top>
      </border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numFmt numFmtId="15" formatCode="0.00E+00"/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border outline="0">
        <top style="thin">
          <color theme="0"/>
        </top>
      </border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numFmt numFmtId="15" formatCode="0.00E+00"/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fill>
        <patternFill patternType="solid">
          <fgColor indexed="65"/>
          <bgColor rgb="FFFFFFCC"/>
        </patternFill>
      </fill>
      <border diagonalUp="0" diagonalDown="0" outline="0">
        <left style="thin">
          <color rgb="FFB2B2B2"/>
        </left>
        <right style="thin">
          <color rgb="FFB2B2B2"/>
        </right>
        <top style="thin">
          <color rgb="FFB2B2B2"/>
        </top>
        <bottom style="thin">
          <color rgb="FFB2B2B2"/>
        </bottom>
      </border>
    </dxf>
    <dxf>
      <numFmt numFmtId="0" formatCode="General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fill>
        <patternFill patternType="solid">
          <fgColor indexed="65"/>
          <bgColor rgb="FFFFFFCC"/>
        </patternFill>
      </fill>
      <border diagonalUp="0" diagonalDown="0" outline="0">
        <left style="thin">
          <color rgb="FFB2B2B2"/>
        </left>
        <right style="thin">
          <color rgb="FFB2B2B2"/>
        </right>
        <top style="thin">
          <color rgb="FFB2B2B2"/>
        </top>
        <bottom style="thin">
          <color rgb="FFB2B2B2"/>
        </bottom>
      </border>
    </dxf>
    <dxf>
      <numFmt numFmtId="0" formatCode="General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ck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64" formatCode="0.00000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64" formatCode="0.00000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64" formatCode="0.00000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64" formatCode="0.00000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/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/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64" formatCode="0.00000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64" formatCode="0.00000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64" formatCode="0.00000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64" formatCode="0.00000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ck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ck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/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</dxfs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pivotCacheDefinition" Target="pivotCache/pivotCacheDefinition1.xml"/><Relationship Id="rId15" Type="http://schemas.openxmlformats.org/officeDocument/2006/relationships/pivotCacheDefinition" Target="pivotCache/pivotCacheDefinition2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strRef>
          <c:f>'Input Size per Mode'!$A$1:$C$1</c:f>
          <c:strCache>
            <c:ptCount val="1"/>
            <c:pt idx="0">
              <c:v>AES Encryption Performance Using  24B Key Size</c:v>
            </c:pt>
          </c:strCache>
        </c:strRef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'Input Size per Mode'!$A$6</c:f>
              <c:strCache>
                <c:ptCount val="1"/>
                <c:pt idx="0">
                  <c:v>CBC</c:v>
                </c:pt>
              </c:strCache>
            </c:strRef>
          </c:tx>
          <c:invertIfNegative val="0"/>
          <c:cat>
            <c:numRef>
              <c:f>'Input Size per Mode'!$B$5:$E$5</c:f>
              <c:numCache>
                <c:formatCode>General</c:formatCode>
                <c:ptCount val="4"/>
                <c:pt idx="0">
                  <c:v>10000.0</c:v>
                </c:pt>
                <c:pt idx="1">
                  <c:v>256000.0</c:v>
                </c:pt>
                <c:pt idx="2">
                  <c:v>1000.0</c:v>
                </c:pt>
                <c:pt idx="3">
                  <c:v>5000.0</c:v>
                </c:pt>
              </c:numCache>
            </c:numRef>
          </c:cat>
          <c:val>
            <c:numRef>
              <c:f>'Input Size per Mode'!$B$6:$E$6</c:f>
              <c:numCache>
                <c:formatCode>General</c:formatCode>
                <c:ptCount val="4"/>
                <c:pt idx="0">
                  <c:v>6.277613653056383</c:v>
                </c:pt>
                <c:pt idx="1">
                  <c:v>8.12929904166361</c:v>
                </c:pt>
                <c:pt idx="2">
                  <c:v>7.630826708503947</c:v>
                </c:pt>
                <c:pt idx="3">
                  <c:v>8.19256392104629</c:v>
                </c:pt>
              </c:numCache>
            </c:numRef>
          </c:val>
        </c:ser>
        <c:ser>
          <c:idx val="1"/>
          <c:order val="1"/>
          <c:tx>
            <c:strRef>
              <c:f>'Input Size per Mode'!$A$7</c:f>
              <c:strCache>
                <c:ptCount val="1"/>
                <c:pt idx="0">
                  <c:v>CFB</c:v>
                </c:pt>
              </c:strCache>
            </c:strRef>
          </c:tx>
          <c:invertIfNegative val="0"/>
          <c:cat>
            <c:numRef>
              <c:f>'Input Size per Mode'!$B$5:$E$5</c:f>
              <c:numCache>
                <c:formatCode>General</c:formatCode>
                <c:ptCount val="4"/>
                <c:pt idx="0">
                  <c:v>10000.0</c:v>
                </c:pt>
                <c:pt idx="1">
                  <c:v>256000.0</c:v>
                </c:pt>
                <c:pt idx="2">
                  <c:v>1000.0</c:v>
                </c:pt>
                <c:pt idx="3">
                  <c:v>5000.0</c:v>
                </c:pt>
              </c:numCache>
            </c:numRef>
          </c:cat>
          <c:val>
            <c:numRef>
              <c:f>'Input Size per Mode'!$B$7:$E$7</c:f>
              <c:numCache>
                <c:formatCode>General</c:formatCode>
                <c:ptCount val="4"/>
                <c:pt idx="0">
                  <c:v>7.014688758259796</c:v>
                </c:pt>
                <c:pt idx="1">
                  <c:v>8.274389085046497</c:v>
                </c:pt>
                <c:pt idx="2">
                  <c:v>7.824141466737031</c:v>
                </c:pt>
                <c:pt idx="3">
                  <c:v>8.16743169638128</c:v>
                </c:pt>
              </c:numCache>
            </c:numRef>
          </c:val>
        </c:ser>
        <c:ser>
          <c:idx val="2"/>
          <c:order val="2"/>
          <c:tx>
            <c:strRef>
              <c:f>'Input Size per Mode'!$A$8</c:f>
              <c:strCache>
                <c:ptCount val="1"/>
                <c:pt idx="0">
                  <c:v>CTR</c:v>
                </c:pt>
              </c:strCache>
            </c:strRef>
          </c:tx>
          <c:invertIfNegative val="0"/>
          <c:cat>
            <c:numRef>
              <c:f>'Input Size per Mode'!$B$5:$E$5</c:f>
              <c:numCache>
                <c:formatCode>General</c:formatCode>
                <c:ptCount val="4"/>
                <c:pt idx="0">
                  <c:v>10000.0</c:v>
                </c:pt>
                <c:pt idx="1">
                  <c:v>256000.0</c:v>
                </c:pt>
                <c:pt idx="2">
                  <c:v>1000.0</c:v>
                </c:pt>
                <c:pt idx="3">
                  <c:v>5000.0</c:v>
                </c:pt>
              </c:numCache>
            </c:numRef>
          </c:cat>
          <c:val>
            <c:numRef>
              <c:f>'Input Size per Mode'!$B$8:$E$8</c:f>
              <c:numCache>
                <c:formatCode>General</c:formatCode>
                <c:ptCount val="4"/>
                <c:pt idx="0">
                  <c:v>6.86313064449601</c:v>
                </c:pt>
                <c:pt idx="1">
                  <c:v>7.982846857814272</c:v>
                </c:pt>
                <c:pt idx="2">
                  <c:v>7.793315050216228</c:v>
                </c:pt>
                <c:pt idx="3">
                  <c:v>7.981031323233445</c:v>
                </c:pt>
              </c:numCache>
            </c:numRef>
          </c:val>
        </c:ser>
        <c:ser>
          <c:idx val="3"/>
          <c:order val="3"/>
          <c:tx>
            <c:strRef>
              <c:f>'Input Size per Mode'!$A$9</c:f>
              <c:strCache>
                <c:ptCount val="1"/>
                <c:pt idx="0">
                  <c:v>ECB</c:v>
                </c:pt>
              </c:strCache>
            </c:strRef>
          </c:tx>
          <c:invertIfNegative val="0"/>
          <c:cat>
            <c:numRef>
              <c:f>'Input Size per Mode'!$B$5:$E$5</c:f>
              <c:numCache>
                <c:formatCode>General</c:formatCode>
                <c:ptCount val="4"/>
                <c:pt idx="0">
                  <c:v>10000.0</c:v>
                </c:pt>
                <c:pt idx="1">
                  <c:v>256000.0</c:v>
                </c:pt>
                <c:pt idx="2">
                  <c:v>1000.0</c:v>
                </c:pt>
                <c:pt idx="3">
                  <c:v>5000.0</c:v>
                </c:pt>
              </c:numCache>
            </c:numRef>
          </c:cat>
          <c:val>
            <c:numRef>
              <c:f>'Input Size per Mode'!$B$9:$E$9</c:f>
              <c:numCache>
                <c:formatCode>General</c:formatCode>
                <c:ptCount val="4"/>
                <c:pt idx="0">
                  <c:v>0.00664760576506962</c:v>
                </c:pt>
                <c:pt idx="1">
                  <c:v>0.00824046978403209</c:v>
                </c:pt>
                <c:pt idx="2">
                  <c:v>0.00753370863758529</c:v>
                </c:pt>
                <c:pt idx="3">
                  <c:v>0.00806938378957629</c:v>
                </c:pt>
              </c:numCache>
            </c:numRef>
          </c:val>
        </c:ser>
        <c:ser>
          <c:idx val="4"/>
          <c:order val="4"/>
          <c:tx>
            <c:strRef>
              <c:f>'Input Size per Mode'!$A$10</c:f>
              <c:strCache>
                <c:ptCount val="1"/>
                <c:pt idx="0">
                  <c:v>OFB</c:v>
                </c:pt>
              </c:strCache>
            </c:strRef>
          </c:tx>
          <c:invertIfNegative val="0"/>
          <c:cat>
            <c:numRef>
              <c:f>'Input Size per Mode'!$B$5:$E$5</c:f>
              <c:numCache>
                <c:formatCode>General</c:formatCode>
                <c:ptCount val="4"/>
                <c:pt idx="0">
                  <c:v>10000.0</c:v>
                </c:pt>
                <c:pt idx="1">
                  <c:v>256000.0</c:v>
                </c:pt>
                <c:pt idx="2">
                  <c:v>1000.0</c:v>
                </c:pt>
                <c:pt idx="3">
                  <c:v>5000.0</c:v>
                </c:pt>
              </c:numCache>
            </c:numRef>
          </c:cat>
          <c:val>
            <c:numRef>
              <c:f>'Input Size per Mode'!$B$10:$E$10</c:f>
              <c:numCache>
                <c:formatCode>General</c:formatCode>
                <c:ptCount val="4"/>
                <c:pt idx="0">
                  <c:v>6.953537160050259</c:v>
                </c:pt>
                <c:pt idx="1">
                  <c:v>8.222994769725632</c:v>
                </c:pt>
                <c:pt idx="2">
                  <c:v>7.897365833626193</c:v>
                </c:pt>
                <c:pt idx="3">
                  <c:v>8.140387825984885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67565528"/>
        <c:axId val="2067571480"/>
      </c:barChart>
      <c:catAx>
        <c:axId val="20675655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Input</a:t>
                </a:r>
                <a:r>
                  <a:rPr lang="en-US" baseline="0"/>
                  <a:t> Size (KB)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67571480"/>
        <c:crossesAt val="0.0"/>
        <c:auto val="1"/>
        <c:lblAlgn val="ctr"/>
        <c:lblOffset val="100"/>
        <c:noMultiLvlLbl val="0"/>
      </c:catAx>
      <c:valAx>
        <c:axId val="2067571480"/>
        <c:scaling>
          <c:logBase val="10.0"/>
          <c:orientation val="minMax"/>
          <c:min val="1.0E-8"/>
        </c:scaling>
        <c:delete val="0"/>
        <c:axPos val="l"/>
        <c:majorGridlines/>
        <c:title>
          <c:tx>
            <c:strRef>
              <c:f>'Input Size per Mode'!$A$4</c:f>
              <c:strCache>
                <c:ptCount val="1"/>
                <c:pt idx="0">
                  <c:v>Average of Throughput (KB/s)</c:v>
                </c:pt>
              </c:strCache>
            </c:strRef>
          </c:tx>
          <c:layout/>
          <c:overlay val="0"/>
          <c:txPr>
            <a:bodyPr rot="-5400000" vert="horz"/>
            <a:lstStyle/>
            <a:p>
              <a:pPr>
                <a:defRPr/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crossAx val="206756552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strRef>
          <c:f>'Input Size per Mode'!$H$1:$J$1</c:f>
          <c:strCache>
            <c:ptCount val="1"/>
            <c:pt idx="0">
              <c:v>AES Decryption Performance Using  24B Key Size</c:v>
            </c:pt>
          </c:strCache>
        </c:strRef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'Input Size per Mode'!$H$6</c:f>
              <c:strCache>
                <c:ptCount val="1"/>
                <c:pt idx="0">
                  <c:v>CBC</c:v>
                </c:pt>
              </c:strCache>
            </c:strRef>
          </c:tx>
          <c:invertIfNegative val="0"/>
          <c:cat>
            <c:numRef>
              <c:f>'Input Size per Mode'!$I$5:$L$5</c:f>
              <c:numCache>
                <c:formatCode>General</c:formatCode>
                <c:ptCount val="4"/>
                <c:pt idx="0">
                  <c:v>10000.0</c:v>
                </c:pt>
                <c:pt idx="1">
                  <c:v>256000.0</c:v>
                </c:pt>
                <c:pt idx="2">
                  <c:v>1000.0</c:v>
                </c:pt>
                <c:pt idx="3">
                  <c:v>5000.0</c:v>
                </c:pt>
              </c:numCache>
            </c:numRef>
          </c:cat>
          <c:val>
            <c:numRef>
              <c:f>'Input Size per Mode'!$I$6:$L$6</c:f>
              <c:numCache>
                <c:formatCode>General</c:formatCode>
                <c:ptCount val="4"/>
                <c:pt idx="0">
                  <c:v>0.010529189704095</c:v>
                </c:pt>
                <c:pt idx="1">
                  <c:v>0.0145869028985202</c:v>
                </c:pt>
                <c:pt idx="2">
                  <c:v>0.0151196379149112</c:v>
                </c:pt>
                <c:pt idx="3">
                  <c:v>0.0140142482862326</c:v>
                </c:pt>
              </c:numCache>
            </c:numRef>
          </c:val>
        </c:ser>
        <c:ser>
          <c:idx val="1"/>
          <c:order val="1"/>
          <c:tx>
            <c:strRef>
              <c:f>'Input Size per Mode'!$H$7</c:f>
              <c:strCache>
                <c:ptCount val="1"/>
                <c:pt idx="0">
                  <c:v>CFB</c:v>
                </c:pt>
              </c:strCache>
            </c:strRef>
          </c:tx>
          <c:invertIfNegative val="0"/>
          <c:cat>
            <c:numRef>
              <c:f>'Input Size per Mode'!$I$5:$L$5</c:f>
              <c:numCache>
                <c:formatCode>General</c:formatCode>
                <c:ptCount val="4"/>
                <c:pt idx="0">
                  <c:v>10000.0</c:v>
                </c:pt>
                <c:pt idx="1">
                  <c:v>256000.0</c:v>
                </c:pt>
                <c:pt idx="2">
                  <c:v>1000.0</c:v>
                </c:pt>
                <c:pt idx="3">
                  <c:v>5000.0</c:v>
                </c:pt>
              </c:numCache>
            </c:numRef>
          </c:cat>
          <c:val>
            <c:numRef>
              <c:f>'Input Size per Mode'!$I$7:$L$7</c:f>
              <c:numCache>
                <c:formatCode>General</c:formatCode>
                <c:ptCount val="4"/>
                <c:pt idx="0">
                  <c:v>0.00463975977179805</c:v>
                </c:pt>
                <c:pt idx="1">
                  <c:v>0.0064948392666819</c:v>
                </c:pt>
                <c:pt idx="2">
                  <c:v>0.00646733060282635</c:v>
                </c:pt>
                <c:pt idx="3">
                  <c:v>0.00476809374758913</c:v>
                </c:pt>
              </c:numCache>
            </c:numRef>
          </c:val>
        </c:ser>
        <c:ser>
          <c:idx val="2"/>
          <c:order val="2"/>
          <c:tx>
            <c:strRef>
              <c:f>'Input Size per Mode'!$H$8</c:f>
              <c:strCache>
                <c:ptCount val="1"/>
                <c:pt idx="0">
                  <c:v>CTR</c:v>
                </c:pt>
              </c:strCache>
            </c:strRef>
          </c:tx>
          <c:invertIfNegative val="0"/>
          <c:cat>
            <c:numRef>
              <c:f>'Input Size per Mode'!$I$5:$L$5</c:f>
              <c:numCache>
                <c:formatCode>General</c:formatCode>
                <c:ptCount val="4"/>
                <c:pt idx="0">
                  <c:v>10000.0</c:v>
                </c:pt>
                <c:pt idx="1">
                  <c:v>256000.0</c:v>
                </c:pt>
                <c:pt idx="2">
                  <c:v>1000.0</c:v>
                </c:pt>
                <c:pt idx="3">
                  <c:v>5000.0</c:v>
                </c:pt>
              </c:numCache>
            </c:numRef>
          </c:cat>
          <c:val>
            <c:numRef>
              <c:f>'Input Size per Mode'!$I$8:$L$8</c:f>
              <c:numCache>
                <c:formatCode>General</c:formatCode>
                <c:ptCount val="4"/>
                <c:pt idx="0">
                  <c:v>0.00485653551268746</c:v>
                </c:pt>
                <c:pt idx="1">
                  <c:v>0.00669252001089626</c:v>
                </c:pt>
                <c:pt idx="2">
                  <c:v>0.00704752675857816</c:v>
                </c:pt>
                <c:pt idx="3">
                  <c:v>0.00638870762705638</c:v>
                </c:pt>
              </c:numCache>
            </c:numRef>
          </c:val>
        </c:ser>
        <c:ser>
          <c:idx val="3"/>
          <c:order val="3"/>
          <c:tx>
            <c:strRef>
              <c:f>'Input Size per Mode'!$H$9</c:f>
              <c:strCache>
                <c:ptCount val="1"/>
                <c:pt idx="0">
                  <c:v>ECB</c:v>
                </c:pt>
              </c:strCache>
            </c:strRef>
          </c:tx>
          <c:invertIfNegative val="0"/>
          <c:cat>
            <c:numRef>
              <c:f>'Input Size per Mode'!$I$5:$L$5</c:f>
              <c:numCache>
                <c:formatCode>General</c:formatCode>
                <c:ptCount val="4"/>
                <c:pt idx="0">
                  <c:v>10000.0</c:v>
                </c:pt>
                <c:pt idx="1">
                  <c:v>256000.0</c:v>
                </c:pt>
                <c:pt idx="2">
                  <c:v>1000.0</c:v>
                </c:pt>
                <c:pt idx="3">
                  <c:v>5000.0</c:v>
                </c:pt>
              </c:numCache>
            </c:numRef>
          </c:cat>
          <c:val>
            <c:numRef>
              <c:f>'Input Size per Mode'!$I$9:$L$9</c:f>
              <c:numCache>
                <c:formatCode>General</c:formatCode>
                <c:ptCount val="4"/>
                <c:pt idx="0">
                  <c:v>0.0111611913768189</c:v>
                </c:pt>
                <c:pt idx="1">
                  <c:v>0.0136167677729404</c:v>
                </c:pt>
                <c:pt idx="2">
                  <c:v>0.0145684143664961</c:v>
                </c:pt>
                <c:pt idx="3">
                  <c:v>0.0138468425668003</c:v>
                </c:pt>
              </c:numCache>
            </c:numRef>
          </c:val>
        </c:ser>
        <c:ser>
          <c:idx val="4"/>
          <c:order val="4"/>
          <c:tx>
            <c:strRef>
              <c:f>'Input Size per Mode'!$H$10</c:f>
              <c:strCache>
                <c:ptCount val="1"/>
                <c:pt idx="0">
                  <c:v>OFB</c:v>
                </c:pt>
              </c:strCache>
            </c:strRef>
          </c:tx>
          <c:invertIfNegative val="0"/>
          <c:cat>
            <c:numRef>
              <c:f>'Input Size per Mode'!$I$5:$L$5</c:f>
              <c:numCache>
                <c:formatCode>General</c:formatCode>
                <c:ptCount val="4"/>
                <c:pt idx="0">
                  <c:v>10000.0</c:v>
                </c:pt>
                <c:pt idx="1">
                  <c:v>256000.0</c:v>
                </c:pt>
                <c:pt idx="2">
                  <c:v>1000.0</c:v>
                </c:pt>
                <c:pt idx="3">
                  <c:v>5000.0</c:v>
                </c:pt>
              </c:numCache>
            </c:numRef>
          </c:cat>
          <c:val>
            <c:numRef>
              <c:f>'Input Size per Mode'!$I$10:$L$10</c:f>
              <c:numCache>
                <c:formatCode>General</c:formatCode>
                <c:ptCount val="4"/>
                <c:pt idx="0">
                  <c:v>0.00475789000900193</c:v>
                </c:pt>
                <c:pt idx="1">
                  <c:v>0.00686375289631604</c:v>
                </c:pt>
                <c:pt idx="2">
                  <c:v>0.0070891140627819</c:v>
                </c:pt>
                <c:pt idx="3">
                  <c:v>0.00643586330766947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67617336"/>
        <c:axId val="2067623288"/>
      </c:barChart>
      <c:catAx>
        <c:axId val="20676173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Input</a:t>
                </a:r>
                <a:r>
                  <a:rPr lang="en-US" baseline="0"/>
                  <a:t> Size (KB)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67623288"/>
        <c:crossesAt val="0.0"/>
        <c:auto val="1"/>
        <c:lblAlgn val="ctr"/>
        <c:lblOffset val="100"/>
        <c:noMultiLvlLbl val="0"/>
      </c:catAx>
      <c:valAx>
        <c:axId val="2067623288"/>
        <c:scaling>
          <c:logBase val="2.0"/>
          <c:orientation val="minMax"/>
        </c:scaling>
        <c:delete val="0"/>
        <c:axPos val="l"/>
        <c:majorGridlines/>
        <c:title>
          <c:tx>
            <c:strRef>
              <c:f>'Input Size per Mode'!$H$4</c:f>
              <c:strCache>
                <c:ptCount val="1"/>
                <c:pt idx="0">
                  <c:v>Average of Throughput (KB/s)</c:v>
                </c:pt>
              </c:strCache>
            </c:strRef>
          </c:tx>
          <c:layout/>
          <c:overlay val="0"/>
          <c:txPr>
            <a:bodyPr rot="-5400000" vert="horz"/>
            <a:lstStyle/>
            <a:p>
              <a:pPr>
                <a:defRPr/>
              </a:pPr>
              <a:endParaRPr lang="en-US"/>
            </a:p>
          </c:txPr>
        </c:title>
        <c:numFmt formatCode="#,##0.00" sourceLinked="0"/>
        <c:majorTickMark val="out"/>
        <c:minorTickMark val="none"/>
        <c:tickLblPos val="nextTo"/>
        <c:crossAx val="206761733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strRef>
          <c:f>'Key Size per Mode'!$H$1:$J$1</c:f>
          <c:strCache>
            <c:ptCount val="1"/>
            <c:pt idx="0">
              <c:v>AES Decryption Performance Using  (All) KB Input</c:v>
            </c:pt>
          </c:strCache>
        </c:strRef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'Key Size per Mode'!$H$6</c:f>
              <c:strCache>
                <c:ptCount val="1"/>
                <c:pt idx="0">
                  <c:v>CBC</c:v>
                </c:pt>
              </c:strCache>
            </c:strRef>
          </c:tx>
          <c:invertIfNegative val="0"/>
          <c:cat>
            <c:strRef>
              <c:f>'Key Size per Mode'!$I$5:$K$5</c:f>
              <c:strCache>
                <c:ptCount val="3"/>
                <c:pt idx="0">
                  <c:v>16B</c:v>
                </c:pt>
                <c:pt idx="1">
                  <c:v>24B</c:v>
                </c:pt>
                <c:pt idx="2">
                  <c:v>32B</c:v>
                </c:pt>
              </c:strCache>
            </c:strRef>
          </c:cat>
          <c:val>
            <c:numRef>
              <c:f>'Key Size per Mode'!$I$6:$K$6</c:f>
              <c:numCache>
                <c:formatCode>General</c:formatCode>
                <c:ptCount val="3"/>
                <c:pt idx="0">
                  <c:v>0.0135592738937172</c:v>
                </c:pt>
                <c:pt idx="1">
                  <c:v>0.0135624947009398</c:v>
                </c:pt>
                <c:pt idx="2">
                  <c:v>0.0127417433258795</c:v>
                </c:pt>
              </c:numCache>
            </c:numRef>
          </c:val>
        </c:ser>
        <c:ser>
          <c:idx val="1"/>
          <c:order val="1"/>
          <c:tx>
            <c:strRef>
              <c:f>'Key Size per Mode'!$H$7</c:f>
              <c:strCache>
                <c:ptCount val="1"/>
                <c:pt idx="0">
                  <c:v>CFB</c:v>
                </c:pt>
              </c:strCache>
            </c:strRef>
          </c:tx>
          <c:invertIfNegative val="0"/>
          <c:cat>
            <c:strRef>
              <c:f>'Key Size per Mode'!$I$5:$K$5</c:f>
              <c:strCache>
                <c:ptCount val="3"/>
                <c:pt idx="0">
                  <c:v>16B</c:v>
                </c:pt>
                <c:pt idx="1">
                  <c:v>24B</c:v>
                </c:pt>
                <c:pt idx="2">
                  <c:v>32B</c:v>
                </c:pt>
              </c:strCache>
            </c:strRef>
          </c:cat>
          <c:val>
            <c:numRef>
              <c:f>'Key Size per Mode'!$I$7:$K$7</c:f>
              <c:numCache>
                <c:formatCode>0.00000</c:formatCode>
                <c:ptCount val="3"/>
                <c:pt idx="0">
                  <c:v>0.00532211137415061</c:v>
                </c:pt>
                <c:pt idx="1">
                  <c:v>0.00559250584722386</c:v>
                </c:pt>
                <c:pt idx="2">
                  <c:v>0.00563324676506499</c:v>
                </c:pt>
              </c:numCache>
            </c:numRef>
          </c:val>
        </c:ser>
        <c:ser>
          <c:idx val="2"/>
          <c:order val="2"/>
          <c:tx>
            <c:strRef>
              <c:f>'Key Size per Mode'!$H$8</c:f>
              <c:strCache>
                <c:ptCount val="1"/>
                <c:pt idx="0">
                  <c:v>CTR</c:v>
                </c:pt>
              </c:strCache>
            </c:strRef>
          </c:tx>
          <c:invertIfNegative val="0"/>
          <c:cat>
            <c:strRef>
              <c:f>'Key Size per Mode'!$I$5:$K$5</c:f>
              <c:strCache>
                <c:ptCount val="3"/>
                <c:pt idx="0">
                  <c:v>16B</c:v>
                </c:pt>
                <c:pt idx="1">
                  <c:v>24B</c:v>
                </c:pt>
                <c:pt idx="2">
                  <c:v>32B</c:v>
                </c:pt>
              </c:strCache>
            </c:strRef>
          </c:cat>
          <c:val>
            <c:numRef>
              <c:f>'Key Size per Mode'!$I$8:$K$8</c:f>
              <c:numCache>
                <c:formatCode>0.00000</c:formatCode>
                <c:ptCount val="3"/>
                <c:pt idx="0">
                  <c:v>0.00604283299403667</c:v>
                </c:pt>
                <c:pt idx="1">
                  <c:v>0.00624632247730456</c:v>
                </c:pt>
                <c:pt idx="2">
                  <c:v>0.00623135815980063</c:v>
                </c:pt>
              </c:numCache>
            </c:numRef>
          </c:val>
        </c:ser>
        <c:ser>
          <c:idx val="3"/>
          <c:order val="3"/>
          <c:tx>
            <c:strRef>
              <c:f>'Key Size per Mode'!$H$9</c:f>
              <c:strCache>
                <c:ptCount val="1"/>
                <c:pt idx="0">
                  <c:v>ECB</c:v>
                </c:pt>
              </c:strCache>
            </c:strRef>
          </c:tx>
          <c:invertIfNegative val="0"/>
          <c:cat>
            <c:strRef>
              <c:f>'Key Size per Mode'!$I$5:$K$5</c:f>
              <c:strCache>
                <c:ptCount val="3"/>
                <c:pt idx="0">
                  <c:v>16B</c:v>
                </c:pt>
                <c:pt idx="1">
                  <c:v>24B</c:v>
                </c:pt>
                <c:pt idx="2">
                  <c:v>32B</c:v>
                </c:pt>
              </c:strCache>
            </c:strRef>
          </c:cat>
          <c:val>
            <c:numRef>
              <c:f>'Key Size per Mode'!$I$9:$K$9</c:f>
              <c:numCache>
                <c:formatCode>0.00000</c:formatCode>
                <c:ptCount val="3"/>
                <c:pt idx="0">
                  <c:v>0.0116028649885793</c:v>
                </c:pt>
                <c:pt idx="1">
                  <c:v>0.0132983040207639</c:v>
                </c:pt>
                <c:pt idx="2">
                  <c:v>0.0128400332665239</c:v>
                </c:pt>
              </c:numCache>
            </c:numRef>
          </c:val>
        </c:ser>
        <c:ser>
          <c:idx val="4"/>
          <c:order val="4"/>
          <c:tx>
            <c:strRef>
              <c:f>'Key Size per Mode'!$H$10</c:f>
              <c:strCache>
                <c:ptCount val="1"/>
                <c:pt idx="0">
                  <c:v>OFB</c:v>
                </c:pt>
              </c:strCache>
            </c:strRef>
          </c:tx>
          <c:invertIfNegative val="0"/>
          <c:cat>
            <c:strRef>
              <c:f>'Key Size per Mode'!$I$5:$K$5</c:f>
              <c:strCache>
                <c:ptCount val="3"/>
                <c:pt idx="0">
                  <c:v>16B</c:v>
                </c:pt>
                <c:pt idx="1">
                  <c:v>24B</c:v>
                </c:pt>
                <c:pt idx="2">
                  <c:v>32B</c:v>
                </c:pt>
              </c:strCache>
            </c:strRef>
          </c:cat>
          <c:val>
            <c:numRef>
              <c:f>'Key Size per Mode'!$I$10:$K$10</c:f>
              <c:numCache>
                <c:formatCode>0.00000</c:formatCode>
                <c:ptCount val="3"/>
                <c:pt idx="0">
                  <c:v>0.0063184184388394</c:v>
                </c:pt>
                <c:pt idx="1">
                  <c:v>0.00628665506894233</c:v>
                </c:pt>
                <c:pt idx="2">
                  <c:v>0.00609747381994322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67737144"/>
        <c:axId val="2067742696"/>
      </c:barChart>
      <c:catAx>
        <c:axId val="2067737144"/>
        <c:scaling>
          <c:orientation val="minMax"/>
        </c:scaling>
        <c:delete val="0"/>
        <c:axPos val="b"/>
        <c:title>
          <c:tx>
            <c:strRef>
              <c:f>'Key Size per Mode'!$I$4</c:f>
              <c:strCache>
                <c:ptCount val="1"/>
                <c:pt idx="0">
                  <c:v>Key Size (B) </c:v>
                </c:pt>
              </c:strCache>
            </c:strRef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67742696"/>
        <c:crossesAt val="0.0"/>
        <c:auto val="1"/>
        <c:lblAlgn val="ctr"/>
        <c:lblOffset val="100"/>
        <c:noMultiLvlLbl val="0"/>
      </c:catAx>
      <c:valAx>
        <c:axId val="2067742696"/>
        <c:scaling>
          <c:logBase val="10.0"/>
          <c:orientation val="minMax"/>
          <c:max val="10.0"/>
        </c:scaling>
        <c:delete val="0"/>
        <c:axPos val="l"/>
        <c:majorGridlines/>
        <c:title>
          <c:tx>
            <c:strRef>
              <c:f>'Key Size per Mode'!$H$4</c:f>
              <c:strCache>
                <c:ptCount val="1"/>
                <c:pt idx="0">
                  <c:v>Average of Throughput (KB/s)</c:v>
                </c:pt>
              </c:strCache>
            </c:strRef>
          </c:tx>
          <c:layout/>
          <c:overlay val="0"/>
          <c:txPr>
            <a:bodyPr rot="-5400000" vert="horz"/>
            <a:lstStyle/>
            <a:p>
              <a:pPr>
                <a:defRPr/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crossAx val="206773714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strRef>
          <c:f>'Key Size per Mode'!$A$1:$C$1</c:f>
          <c:strCache>
            <c:ptCount val="1"/>
            <c:pt idx="0">
              <c:v>AES Encryption Performance Using  (All) KB Input</c:v>
            </c:pt>
          </c:strCache>
        </c:strRef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'Key Size per Mode'!$A$6</c:f>
              <c:strCache>
                <c:ptCount val="1"/>
                <c:pt idx="0">
                  <c:v>CBC</c:v>
                </c:pt>
              </c:strCache>
            </c:strRef>
          </c:tx>
          <c:invertIfNegative val="0"/>
          <c:cat>
            <c:strRef>
              <c:f>'Key Size per Mode'!$B$5:$D$5</c:f>
              <c:strCache>
                <c:ptCount val="3"/>
                <c:pt idx="0">
                  <c:v>16B</c:v>
                </c:pt>
                <c:pt idx="1">
                  <c:v>24B</c:v>
                </c:pt>
                <c:pt idx="2">
                  <c:v>32B</c:v>
                </c:pt>
              </c:strCache>
            </c:strRef>
          </c:cat>
          <c:val>
            <c:numRef>
              <c:f>'Key Size per Mode'!$B$6:$D$6</c:f>
              <c:numCache>
                <c:formatCode>General</c:formatCode>
                <c:ptCount val="3"/>
                <c:pt idx="0">
                  <c:v>7.942244631785235</c:v>
                </c:pt>
                <c:pt idx="1">
                  <c:v>7.557575831067558</c:v>
                </c:pt>
                <c:pt idx="2">
                  <c:v>7.74479733668486</c:v>
                </c:pt>
              </c:numCache>
            </c:numRef>
          </c:val>
        </c:ser>
        <c:ser>
          <c:idx val="1"/>
          <c:order val="1"/>
          <c:tx>
            <c:strRef>
              <c:f>'Key Size per Mode'!$A$7</c:f>
              <c:strCache>
                <c:ptCount val="1"/>
                <c:pt idx="0">
                  <c:v>CFB</c:v>
                </c:pt>
              </c:strCache>
            </c:strRef>
          </c:tx>
          <c:invertIfNegative val="0"/>
          <c:cat>
            <c:strRef>
              <c:f>'Key Size per Mode'!$B$5:$D$5</c:f>
              <c:strCache>
                <c:ptCount val="3"/>
                <c:pt idx="0">
                  <c:v>16B</c:v>
                </c:pt>
                <c:pt idx="1">
                  <c:v>24B</c:v>
                </c:pt>
                <c:pt idx="2">
                  <c:v>32B</c:v>
                </c:pt>
              </c:strCache>
            </c:strRef>
          </c:cat>
          <c:val>
            <c:numRef>
              <c:f>'Key Size per Mode'!$B$7:$D$7</c:f>
              <c:numCache>
                <c:formatCode>0.00000</c:formatCode>
                <c:ptCount val="3"/>
                <c:pt idx="0">
                  <c:v>7.911153443023271</c:v>
                </c:pt>
                <c:pt idx="1">
                  <c:v>7.82016275160615</c:v>
                </c:pt>
                <c:pt idx="2">
                  <c:v>7.753332126929848</c:v>
                </c:pt>
              </c:numCache>
            </c:numRef>
          </c:val>
        </c:ser>
        <c:ser>
          <c:idx val="2"/>
          <c:order val="2"/>
          <c:tx>
            <c:strRef>
              <c:f>'Key Size per Mode'!$A$8</c:f>
              <c:strCache>
                <c:ptCount val="1"/>
                <c:pt idx="0">
                  <c:v>CTR</c:v>
                </c:pt>
              </c:strCache>
            </c:strRef>
          </c:tx>
          <c:invertIfNegative val="0"/>
          <c:cat>
            <c:strRef>
              <c:f>'Key Size per Mode'!$B$5:$D$5</c:f>
              <c:strCache>
                <c:ptCount val="3"/>
                <c:pt idx="0">
                  <c:v>16B</c:v>
                </c:pt>
                <c:pt idx="1">
                  <c:v>24B</c:v>
                </c:pt>
                <c:pt idx="2">
                  <c:v>32B</c:v>
                </c:pt>
              </c:strCache>
            </c:strRef>
          </c:cat>
          <c:val>
            <c:numRef>
              <c:f>'Key Size per Mode'!$B$8:$D$8</c:f>
              <c:numCache>
                <c:formatCode>0.00000</c:formatCode>
                <c:ptCount val="3"/>
                <c:pt idx="0">
                  <c:v>7.966042697667646</c:v>
                </c:pt>
                <c:pt idx="1">
                  <c:v>7.655080968939989</c:v>
                </c:pt>
                <c:pt idx="2">
                  <c:v>7.807886002287411</c:v>
                </c:pt>
              </c:numCache>
            </c:numRef>
          </c:val>
        </c:ser>
        <c:ser>
          <c:idx val="3"/>
          <c:order val="3"/>
          <c:tx>
            <c:strRef>
              <c:f>'Key Size per Mode'!$A$9</c:f>
              <c:strCache>
                <c:ptCount val="1"/>
                <c:pt idx="0">
                  <c:v>ECB</c:v>
                </c:pt>
              </c:strCache>
            </c:strRef>
          </c:tx>
          <c:invertIfNegative val="0"/>
          <c:cat>
            <c:strRef>
              <c:f>'Key Size per Mode'!$B$5:$D$5</c:f>
              <c:strCache>
                <c:ptCount val="3"/>
                <c:pt idx="0">
                  <c:v>16B</c:v>
                </c:pt>
                <c:pt idx="1">
                  <c:v>24B</c:v>
                </c:pt>
                <c:pt idx="2">
                  <c:v>32B</c:v>
                </c:pt>
              </c:strCache>
            </c:strRef>
          </c:cat>
          <c:val>
            <c:numRef>
              <c:f>'Key Size per Mode'!$B$9:$D$9</c:f>
              <c:numCache>
                <c:formatCode>0.00000</c:formatCode>
                <c:ptCount val="3"/>
                <c:pt idx="0">
                  <c:v>0.00788569932467465</c:v>
                </c:pt>
                <c:pt idx="1">
                  <c:v>0.00762279199406582</c:v>
                </c:pt>
                <c:pt idx="2">
                  <c:v>0.00770407868161017</c:v>
                </c:pt>
              </c:numCache>
            </c:numRef>
          </c:val>
        </c:ser>
        <c:ser>
          <c:idx val="4"/>
          <c:order val="4"/>
          <c:tx>
            <c:strRef>
              <c:f>'Key Size per Mode'!$A$10</c:f>
              <c:strCache>
                <c:ptCount val="1"/>
                <c:pt idx="0">
                  <c:v>OFB</c:v>
                </c:pt>
              </c:strCache>
            </c:strRef>
          </c:tx>
          <c:invertIfNegative val="0"/>
          <c:cat>
            <c:strRef>
              <c:f>'Key Size per Mode'!$B$5:$D$5</c:f>
              <c:strCache>
                <c:ptCount val="3"/>
                <c:pt idx="0">
                  <c:v>16B</c:v>
                </c:pt>
                <c:pt idx="1">
                  <c:v>24B</c:v>
                </c:pt>
                <c:pt idx="2">
                  <c:v>32B</c:v>
                </c:pt>
              </c:strCache>
            </c:strRef>
          </c:cat>
          <c:val>
            <c:numRef>
              <c:f>'Key Size per Mode'!$B$10:$D$10</c:f>
              <c:numCache>
                <c:formatCode>0.00000</c:formatCode>
                <c:ptCount val="3"/>
                <c:pt idx="0">
                  <c:v>7.957337238117132</c:v>
                </c:pt>
                <c:pt idx="1">
                  <c:v>7.803571397346742</c:v>
                </c:pt>
                <c:pt idx="2">
                  <c:v>7.663578177080189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23483192"/>
        <c:axId val="1550299976"/>
      </c:barChart>
      <c:catAx>
        <c:axId val="1523483192"/>
        <c:scaling>
          <c:orientation val="minMax"/>
        </c:scaling>
        <c:delete val="0"/>
        <c:axPos val="b"/>
        <c:title>
          <c:tx>
            <c:strRef>
              <c:f>'Key Size per Mode'!$B$4</c:f>
              <c:strCache>
                <c:ptCount val="1"/>
                <c:pt idx="0">
                  <c:v>Key Size (B)</c:v>
                </c:pt>
              </c:strCache>
            </c:strRef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50299976"/>
        <c:crossesAt val="0.0"/>
        <c:auto val="1"/>
        <c:lblAlgn val="ctr"/>
        <c:lblOffset val="100"/>
        <c:noMultiLvlLbl val="0"/>
      </c:catAx>
      <c:valAx>
        <c:axId val="1550299976"/>
        <c:scaling>
          <c:logBase val="10.0"/>
          <c:orientation val="minMax"/>
        </c:scaling>
        <c:delete val="0"/>
        <c:axPos val="l"/>
        <c:majorGridlines/>
        <c:title>
          <c:tx>
            <c:strRef>
              <c:f>'Key Size per Mode'!$A$4</c:f>
              <c:strCache>
                <c:ptCount val="1"/>
                <c:pt idx="0">
                  <c:v>Average of Throughput (KB/s)</c:v>
                </c:pt>
              </c:strCache>
            </c:strRef>
          </c:tx>
          <c:layout/>
          <c:overlay val="0"/>
          <c:txPr>
            <a:bodyPr rot="-5400000" vert="horz"/>
            <a:lstStyle/>
            <a:p>
              <a:pPr>
                <a:defRPr/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crossAx val="152348319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strRef>
          <c:f>'Key Size per Input Size'!$L$1:$N$1</c:f>
          <c:strCache>
            <c:ptCount val="1"/>
            <c:pt idx="0">
              <c:v>AES Decryption Performance Using  CBC Mode</c:v>
            </c:pt>
          </c:strCache>
        </c:strRef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0983323117544438"/>
          <c:y val="0.108372093023256"/>
          <c:w val="0.793020769484653"/>
          <c:h val="0.78151950192272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'Key Size per Input Size'!$M$5</c:f>
              <c:strCache>
                <c:ptCount val="1"/>
                <c:pt idx="0">
                  <c:v>16B</c:v>
                </c:pt>
              </c:strCache>
            </c:strRef>
          </c:tx>
          <c:invertIfNegative val="0"/>
          <c:cat>
            <c:numRef>
              <c:f>'Key Size per Input Size'!$L$6:$L$9</c:f>
              <c:numCache>
                <c:formatCode>General</c:formatCode>
                <c:ptCount val="4"/>
                <c:pt idx="0">
                  <c:v>1000.0</c:v>
                </c:pt>
                <c:pt idx="1">
                  <c:v>5000.0</c:v>
                </c:pt>
                <c:pt idx="2">
                  <c:v>10000.0</c:v>
                </c:pt>
                <c:pt idx="3">
                  <c:v>256000.0</c:v>
                </c:pt>
              </c:numCache>
            </c:numRef>
          </c:cat>
          <c:val>
            <c:numRef>
              <c:f>'Key Size per Input Size'!$M$6:$M$9</c:f>
              <c:numCache>
                <c:formatCode>General</c:formatCode>
                <c:ptCount val="4"/>
                <c:pt idx="0">
                  <c:v>0.0158731544481738</c:v>
                </c:pt>
                <c:pt idx="1">
                  <c:v>0.0139109474008995</c:v>
                </c:pt>
                <c:pt idx="2">
                  <c:v>0.0121968890127009</c:v>
                </c:pt>
                <c:pt idx="3">
                  <c:v>0.0122561047130946</c:v>
                </c:pt>
              </c:numCache>
            </c:numRef>
          </c:val>
        </c:ser>
        <c:ser>
          <c:idx val="1"/>
          <c:order val="1"/>
          <c:tx>
            <c:strRef>
              <c:f>'Key Size per Input Size'!$N$5</c:f>
              <c:strCache>
                <c:ptCount val="1"/>
                <c:pt idx="0">
                  <c:v>24B</c:v>
                </c:pt>
              </c:strCache>
            </c:strRef>
          </c:tx>
          <c:invertIfNegative val="0"/>
          <c:cat>
            <c:numRef>
              <c:f>'Key Size per Input Size'!$L$6:$L$9</c:f>
              <c:numCache>
                <c:formatCode>General</c:formatCode>
                <c:ptCount val="4"/>
                <c:pt idx="0">
                  <c:v>1000.0</c:v>
                </c:pt>
                <c:pt idx="1">
                  <c:v>5000.0</c:v>
                </c:pt>
                <c:pt idx="2">
                  <c:v>10000.0</c:v>
                </c:pt>
                <c:pt idx="3">
                  <c:v>256000.0</c:v>
                </c:pt>
              </c:numCache>
            </c:numRef>
          </c:cat>
          <c:val>
            <c:numRef>
              <c:f>'Key Size per Input Size'!$N$6:$N$9</c:f>
              <c:numCache>
                <c:formatCode>General</c:formatCode>
                <c:ptCount val="4"/>
                <c:pt idx="0">
                  <c:v>0.0151196379149112</c:v>
                </c:pt>
                <c:pt idx="1">
                  <c:v>0.0140142482862326</c:v>
                </c:pt>
                <c:pt idx="2">
                  <c:v>0.010529189704095</c:v>
                </c:pt>
                <c:pt idx="3">
                  <c:v>0.0145869028985202</c:v>
                </c:pt>
              </c:numCache>
            </c:numRef>
          </c:val>
        </c:ser>
        <c:ser>
          <c:idx val="2"/>
          <c:order val="2"/>
          <c:tx>
            <c:strRef>
              <c:f>'Key Size per Input Size'!$O$5</c:f>
              <c:strCache>
                <c:ptCount val="1"/>
                <c:pt idx="0">
                  <c:v>32B</c:v>
                </c:pt>
              </c:strCache>
            </c:strRef>
          </c:tx>
          <c:invertIfNegative val="0"/>
          <c:cat>
            <c:numRef>
              <c:f>'Key Size per Input Size'!$L$6:$L$9</c:f>
              <c:numCache>
                <c:formatCode>General</c:formatCode>
                <c:ptCount val="4"/>
                <c:pt idx="0">
                  <c:v>1000.0</c:v>
                </c:pt>
                <c:pt idx="1">
                  <c:v>5000.0</c:v>
                </c:pt>
                <c:pt idx="2">
                  <c:v>10000.0</c:v>
                </c:pt>
                <c:pt idx="3">
                  <c:v>256000.0</c:v>
                </c:pt>
              </c:numCache>
            </c:numRef>
          </c:cat>
          <c:val>
            <c:numRef>
              <c:f>'Key Size per Input Size'!$O$6:$O$9</c:f>
              <c:numCache>
                <c:formatCode>General</c:formatCode>
                <c:ptCount val="4"/>
                <c:pt idx="0">
                  <c:v>0.0141432713386606</c:v>
                </c:pt>
                <c:pt idx="1">
                  <c:v>0.0129080842428047</c:v>
                </c:pt>
                <c:pt idx="2">
                  <c:v>0.00991719145138097</c:v>
                </c:pt>
                <c:pt idx="3">
                  <c:v>0.0139984262706716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99529736"/>
        <c:axId val="1499535112"/>
      </c:barChart>
      <c:catAx>
        <c:axId val="1499529736"/>
        <c:scaling>
          <c:orientation val="minMax"/>
        </c:scaling>
        <c:delete val="0"/>
        <c:axPos val="b"/>
        <c:title>
          <c:tx>
            <c:strRef>
              <c:f>'Key Size per Input Size'!$L$5</c:f>
              <c:strCache>
                <c:ptCount val="1"/>
                <c:pt idx="0">
                  <c:v>Input Size (KB)</c:v>
                </c:pt>
              </c:strCache>
            </c:strRef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499535112"/>
        <c:crossesAt val="0.0"/>
        <c:auto val="1"/>
        <c:lblAlgn val="ctr"/>
        <c:lblOffset val="100"/>
        <c:noMultiLvlLbl val="0"/>
      </c:catAx>
      <c:valAx>
        <c:axId val="1499535112"/>
        <c:scaling>
          <c:logBase val="10.0"/>
          <c:orientation val="minMax"/>
          <c:max val="10.0"/>
        </c:scaling>
        <c:delete val="0"/>
        <c:axPos val="l"/>
        <c:majorGridlines/>
        <c:title>
          <c:tx>
            <c:strRef>
              <c:f>'Key Size per Input Size'!$L$4</c:f>
              <c:strCache>
                <c:ptCount val="1"/>
                <c:pt idx="0">
                  <c:v>Average of Throughput (KB/s)</c:v>
                </c:pt>
              </c:strCache>
            </c:strRef>
          </c:tx>
          <c:layout>
            <c:manualLayout>
              <c:xMode val="edge"/>
              <c:yMode val="edge"/>
              <c:x val="0.0324776963086036"/>
              <c:y val="0.343317890496246"/>
            </c:manualLayout>
          </c:layout>
          <c:overlay val="0"/>
          <c:txPr>
            <a:bodyPr rot="-5400000" vert="horz"/>
            <a:lstStyle/>
            <a:p>
              <a:pPr>
                <a:defRPr/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crossAx val="149952973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strRef>
          <c:f>'Key Size per Input Size'!$A$1:$C$1</c:f>
          <c:strCache>
            <c:ptCount val="1"/>
            <c:pt idx="0">
              <c:v>AES Encryption Performance Using  CBC Mode</c:v>
            </c:pt>
          </c:strCache>
        </c:strRef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'Key Size per Input Size'!$B$5</c:f>
              <c:strCache>
                <c:ptCount val="1"/>
                <c:pt idx="0">
                  <c:v>16B</c:v>
                </c:pt>
              </c:strCache>
            </c:strRef>
          </c:tx>
          <c:invertIfNegative val="0"/>
          <c:cat>
            <c:numRef>
              <c:f>'Key Size per Input Size'!$A$6:$A$9</c:f>
              <c:numCache>
                <c:formatCode>General</c:formatCode>
                <c:ptCount val="4"/>
                <c:pt idx="0">
                  <c:v>1000.0</c:v>
                </c:pt>
                <c:pt idx="1">
                  <c:v>5000.0</c:v>
                </c:pt>
                <c:pt idx="2">
                  <c:v>10000.0</c:v>
                </c:pt>
                <c:pt idx="3">
                  <c:v>256000.0</c:v>
                </c:pt>
              </c:numCache>
            </c:numRef>
          </c:cat>
          <c:val>
            <c:numRef>
              <c:f>'Key Size per Input Size'!$B$6:$B$9</c:f>
              <c:numCache>
                <c:formatCode>General</c:formatCode>
                <c:ptCount val="4"/>
                <c:pt idx="0">
                  <c:v>8.50821617165156</c:v>
                </c:pt>
                <c:pt idx="1">
                  <c:v>8.160455444810921</c:v>
                </c:pt>
                <c:pt idx="2">
                  <c:v>8.272653420494011</c:v>
                </c:pt>
                <c:pt idx="3">
                  <c:v>6.827653490184448</c:v>
                </c:pt>
              </c:numCache>
            </c:numRef>
          </c:val>
        </c:ser>
        <c:ser>
          <c:idx val="2"/>
          <c:order val="1"/>
          <c:tx>
            <c:strRef>
              <c:f>'Key Size per Input Size'!$C$5</c:f>
              <c:strCache>
                <c:ptCount val="1"/>
                <c:pt idx="0">
                  <c:v>24B</c:v>
                </c:pt>
              </c:strCache>
            </c:strRef>
          </c:tx>
          <c:invertIfNegative val="0"/>
          <c:cat>
            <c:numRef>
              <c:f>'Key Size per Input Size'!$A$6:$A$9</c:f>
              <c:numCache>
                <c:formatCode>General</c:formatCode>
                <c:ptCount val="4"/>
                <c:pt idx="0">
                  <c:v>1000.0</c:v>
                </c:pt>
                <c:pt idx="1">
                  <c:v>5000.0</c:v>
                </c:pt>
                <c:pt idx="2">
                  <c:v>10000.0</c:v>
                </c:pt>
                <c:pt idx="3">
                  <c:v>256000.0</c:v>
                </c:pt>
              </c:numCache>
            </c:numRef>
          </c:cat>
          <c:val>
            <c:numRef>
              <c:f>'Key Size per Input Size'!$C$6:$C$9</c:f>
              <c:numCache>
                <c:formatCode>General</c:formatCode>
                <c:ptCount val="4"/>
                <c:pt idx="0">
                  <c:v>7.630826708503947</c:v>
                </c:pt>
                <c:pt idx="1">
                  <c:v>8.19256392104629</c:v>
                </c:pt>
                <c:pt idx="2">
                  <c:v>6.277613653056383</c:v>
                </c:pt>
                <c:pt idx="3">
                  <c:v>8.12929904166361</c:v>
                </c:pt>
              </c:numCache>
            </c:numRef>
          </c:val>
        </c:ser>
        <c:ser>
          <c:idx val="3"/>
          <c:order val="2"/>
          <c:tx>
            <c:strRef>
              <c:f>'Key Size per Input Size'!$D$5</c:f>
              <c:strCache>
                <c:ptCount val="1"/>
                <c:pt idx="0">
                  <c:v>32B</c:v>
                </c:pt>
              </c:strCache>
            </c:strRef>
          </c:tx>
          <c:invertIfNegative val="0"/>
          <c:cat>
            <c:numRef>
              <c:f>'Key Size per Input Size'!$A$6:$A$9</c:f>
              <c:numCache>
                <c:formatCode>General</c:formatCode>
                <c:ptCount val="4"/>
                <c:pt idx="0">
                  <c:v>1000.0</c:v>
                </c:pt>
                <c:pt idx="1">
                  <c:v>5000.0</c:v>
                </c:pt>
                <c:pt idx="2">
                  <c:v>10000.0</c:v>
                </c:pt>
                <c:pt idx="3">
                  <c:v>256000.0</c:v>
                </c:pt>
              </c:numCache>
            </c:numRef>
          </c:cat>
          <c:val>
            <c:numRef>
              <c:f>'Key Size per Input Size'!$D$6:$D$9</c:f>
              <c:numCache>
                <c:formatCode>General</c:formatCode>
                <c:ptCount val="4"/>
                <c:pt idx="0">
                  <c:v>7.892856057589435</c:v>
                </c:pt>
                <c:pt idx="1">
                  <c:v>8.37767286511134</c:v>
                </c:pt>
                <c:pt idx="2">
                  <c:v>6.324794649729712</c:v>
                </c:pt>
                <c:pt idx="3">
                  <c:v>8.383865774308953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19004664"/>
        <c:axId val="2065586600"/>
      </c:barChart>
      <c:catAx>
        <c:axId val="1519004664"/>
        <c:scaling>
          <c:orientation val="minMax"/>
        </c:scaling>
        <c:delete val="0"/>
        <c:axPos val="b"/>
        <c:title>
          <c:tx>
            <c:strRef>
              <c:f>'Key Size per Input Size'!$A$5</c:f>
              <c:strCache>
                <c:ptCount val="1"/>
                <c:pt idx="0">
                  <c:v>Input Size (KB)</c:v>
                </c:pt>
              </c:strCache>
            </c:strRef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65586600"/>
        <c:crossesAt val="0.0"/>
        <c:auto val="1"/>
        <c:lblAlgn val="ctr"/>
        <c:lblOffset val="100"/>
        <c:noMultiLvlLbl val="0"/>
      </c:catAx>
      <c:valAx>
        <c:axId val="2065586600"/>
        <c:scaling>
          <c:logBase val="10.0"/>
          <c:orientation val="minMax"/>
        </c:scaling>
        <c:delete val="0"/>
        <c:axPos val="l"/>
        <c:majorGridlines/>
        <c:title>
          <c:tx>
            <c:strRef>
              <c:f>'Key Size per Input Size'!$A$4</c:f>
              <c:strCache>
                <c:ptCount val="1"/>
                <c:pt idx="0">
                  <c:v>Average of Throughput (KB/s)</c:v>
                </c:pt>
              </c:strCache>
            </c:strRef>
          </c:tx>
          <c:layout/>
          <c:overlay val="0"/>
          <c:txPr>
            <a:bodyPr rot="-5400000" vert="horz"/>
            <a:lstStyle/>
            <a:p>
              <a:pPr>
                <a:defRPr/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crossAx val="151900466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Relationship Id="rId2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50800</xdr:colOff>
      <xdr:row>18</xdr:row>
      <xdr:rowOff>114300</xdr:rowOff>
    </xdr:from>
    <xdr:to>
      <xdr:col>6</xdr:col>
      <xdr:colOff>901700</xdr:colOff>
      <xdr:row>44</xdr:row>
      <xdr:rowOff>152400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63500</xdr:colOff>
      <xdr:row>18</xdr:row>
      <xdr:rowOff>38100</xdr:rowOff>
    </xdr:from>
    <xdr:to>
      <xdr:col>14</xdr:col>
      <xdr:colOff>330200</xdr:colOff>
      <xdr:row>44</xdr:row>
      <xdr:rowOff>101600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914400</xdr:colOff>
      <xdr:row>16</xdr:row>
      <xdr:rowOff>165100</xdr:rowOff>
    </xdr:from>
    <xdr:to>
      <xdr:col>16</xdr:col>
      <xdr:colOff>342900</xdr:colOff>
      <xdr:row>47</xdr:row>
      <xdr:rowOff>114300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152400</xdr:colOff>
      <xdr:row>16</xdr:row>
      <xdr:rowOff>152400</xdr:rowOff>
    </xdr:from>
    <xdr:to>
      <xdr:col>7</xdr:col>
      <xdr:colOff>241300</xdr:colOff>
      <xdr:row>45</xdr:row>
      <xdr:rowOff>165100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711200</xdr:colOff>
      <xdr:row>15</xdr:row>
      <xdr:rowOff>177800</xdr:rowOff>
    </xdr:from>
    <xdr:to>
      <xdr:col>18</xdr:col>
      <xdr:colOff>342900</xdr:colOff>
      <xdr:row>44</xdr:row>
      <xdr:rowOff>114300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0</xdr:colOff>
      <xdr:row>26</xdr:row>
      <xdr:rowOff>127000</xdr:rowOff>
    </xdr:from>
    <xdr:to>
      <xdr:col>20</xdr:col>
      <xdr:colOff>186748</xdr:colOff>
      <xdr:row>28</xdr:row>
      <xdr:rowOff>7610</xdr:rowOff>
    </xdr:to>
    <xdr:sp macro="" textlink="$M$4">
      <xdr:nvSpPr>
        <xdr:cNvPr id="5" name="TextBox 4"/>
        <xdr:cNvSpPr txBox="1"/>
      </xdr:nvSpPr>
      <xdr:spPr>
        <a:xfrm>
          <a:off x="16814800" y="4889500"/>
          <a:ext cx="1012248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fld id="{2A9F3628-E781-7342-B9CE-63C860A2BB3F}" type="TxLink">
            <a:rPr lang="en-US" sz="1100"/>
            <a:pPr/>
            <a:t>Key Size (KB)</a:t>
          </a:fld>
          <a:endParaRPr lang="en-US" sz="1100"/>
        </a:p>
      </xdr:txBody>
    </xdr:sp>
    <xdr:clientData/>
  </xdr:twoCellAnchor>
  <xdr:twoCellAnchor>
    <xdr:from>
      <xdr:col>0</xdr:col>
      <xdr:colOff>63500</xdr:colOff>
      <xdr:row>16</xdr:row>
      <xdr:rowOff>0</xdr:rowOff>
    </xdr:from>
    <xdr:to>
      <xdr:col>8</xdr:col>
      <xdr:colOff>508000</xdr:colOff>
      <xdr:row>44</xdr:row>
      <xdr:rowOff>177800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eff Phillips" refreshedDate="41497.067229513887" createdVersion="4" refreshedVersion="4" minRefreshableVersion="3" recordCount="60">
  <cacheSource type="worksheet">
    <worksheetSource name="SummaryDecryption"/>
  </cacheSource>
  <cacheFields count="10">
    <cacheField name="Mode" numFmtId="0">
      <sharedItems count="5">
        <s v="ECB"/>
        <s v="CBC"/>
        <s v="CFB"/>
        <s v="OFB"/>
        <s v="CTR"/>
      </sharedItems>
    </cacheField>
    <cacheField name="Key size (B)" numFmtId="0">
      <sharedItems count="3">
        <s v="16B"/>
        <s v="24B"/>
        <s v="32B"/>
      </sharedItems>
    </cacheField>
    <cacheField name="Mode_Key" numFmtId="0">
      <sharedItems/>
    </cacheField>
    <cacheField name="Test Size (KB)" numFmtId="0">
      <sharedItems containsSemiMixedTypes="0" containsString="0" containsNumber="1" minValue="1.6E-2" maxValue="256000" count="6">
        <n v="1000"/>
        <n v="5000"/>
        <n v="10000"/>
        <n v="256000"/>
        <n v="3.2000000000000001E-2" u="1"/>
        <n v="1.6E-2" u="1"/>
      </sharedItems>
    </cacheField>
    <cacheField name="Throughput (KB/s)" numFmtId="0">
      <sharedItems containsSemiMixedTypes="0" containsString="0" containsNumber="1" minValue="4.5571851543313524E-3" maxValue="1.5873154448173755E-2"/>
    </cacheField>
    <cacheField name="Average (ms)" numFmtId="164">
      <sharedItems containsSemiMixedTypes="0" containsString="0" containsNumber="1" minValue="62.999449999999989" maxValue="44826.650000000009"/>
    </cacheField>
    <cacheField name="Min (ms)" numFmtId="164">
      <sharedItems containsSemiMixedTypes="0" containsString="0" containsNumber="1" minValue="62.238" maxValue="39332.1"/>
    </cacheField>
    <cacheField name="Max (ms)" numFmtId="164">
      <sharedItems containsSemiMixedTypes="0" containsString="0" containsNumber="1" minValue="64.606999999999999" maxValue="212627"/>
    </cacheField>
    <cacheField name="Median (ms)" numFmtId="164">
      <sharedItems containsSemiMixedTypes="0" containsString="0" containsNumber="1" minValue="62.686499999999995" maxValue="44299.4"/>
    </cacheField>
    <cacheField name="Plain size (B)" numFmtId="0">
      <sharedItems containsSemiMixedTypes="0" containsString="0" containsNumber="1" containsInteger="1" minValue="16" maxValue="26843545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Jeff Phillips" refreshedDate="41497.06723645833" createdVersion="4" refreshedVersion="4" minRefreshableVersion="3" recordCount="60">
  <cacheSource type="worksheet">
    <worksheetSource name="SummaryEncryption"/>
  </cacheSource>
  <cacheFields count="10">
    <cacheField name="Mode" numFmtId="0">
      <sharedItems count="5">
        <s v="ECB"/>
        <s v="CBC"/>
        <s v="CFB"/>
        <s v="OFB"/>
        <s v="CTR"/>
      </sharedItems>
    </cacheField>
    <cacheField name="Key size (B)" numFmtId="0">
      <sharedItems count="3">
        <s v="16B"/>
        <s v="24B"/>
        <s v="32B"/>
      </sharedItems>
    </cacheField>
    <cacheField name="Mode_Key" numFmtId="0">
      <sharedItems/>
    </cacheField>
    <cacheField name="Test Size (KB)" numFmtId="0">
      <sharedItems containsSemiMixedTypes="0" containsString="0" containsNumber="1" minValue="1.6E-2" maxValue="256000" count="6">
        <n v="1000"/>
        <n v="5000"/>
        <n v="10000"/>
        <n v="256000"/>
        <n v="3.2000000000000001E-2" u="1"/>
        <n v="1.6E-2" u="1"/>
      </sharedItems>
    </cacheField>
    <cacheField name="Throughput (KB/s)" numFmtId="0">
      <sharedItems containsSemiMixedTypes="0" containsString="0" containsNumber="1" minValue="6.0504669447864635E-3" maxValue="8.530396147331885"/>
    </cacheField>
    <cacheField name="Average (ms)" numFmtId="164">
      <sharedItems containsSemiMixedTypes="0" containsString="0" containsNumber="1" minValue="0.11722784999999999" maxValue="37350.990000000005"/>
    </cacheField>
    <cacheField name="Min (ms)" numFmtId="164">
      <sharedItems containsSemiMixedTypes="0" containsString="0" containsNumber="1" minValue="0.115039" maxValue="32920.699999999997"/>
    </cacheField>
    <cacheField name="Max (ms)" numFmtId="164">
      <sharedItems containsSemiMixedTypes="0" containsString="0" containsNumber="1" minValue="0.124866" maxValue="41554"/>
    </cacheField>
    <cacheField name="Median (ms)" numFmtId="164">
      <sharedItems containsSemiMixedTypes="0" containsString="0" containsNumber="1" minValue="0.1159685" maxValue="37727"/>
    </cacheField>
    <cacheField name="Cipher size (B)" numFmtId="0">
      <sharedItems containsSemiMixedTypes="0" containsString="0" containsNumber="1" containsInteger="1" minValue="32" maxValue="53687094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0">
  <r>
    <x v="0"/>
    <x v="0"/>
    <s v="ECB_16B"/>
    <x v="0"/>
    <n v="1.5579248129906003E-2"/>
    <n v="64.187950000000001"/>
    <n v="62.780999999999999"/>
    <n v="82.816000000000003"/>
    <n v="63.108999999999995"/>
    <n v="16"/>
  </r>
  <r>
    <x v="1"/>
    <x v="0"/>
    <s v="CBC_16B"/>
    <x v="0"/>
    <n v="1.5873154448173755E-2"/>
    <n v="62.999449999999989"/>
    <n v="62.238"/>
    <n v="64.606999999999999"/>
    <n v="62.686499999999995"/>
    <n v="16"/>
  </r>
  <r>
    <x v="2"/>
    <x v="0"/>
    <s v="CFB_16B"/>
    <x v="0"/>
    <n v="5.2027214395305894E-3"/>
    <n v="192.20710000000003"/>
    <n v="184.53899999999999"/>
    <n v="218.923"/>
    <n v="190.52949999999998"/>
    <n v="16"/>
  </r>
  <r>
    <x v="3"/>
    <x v="0"/>
    <s v="OFB_16B"/>
    <x v="0"/>
    <n v="7.0448382822148135E-3"/>
    <n v="141.94789999999998"/>
    <n v="140.482"/>
    <n v="145.13499999999999"/>
    <n v="141.971"/>
    <n v="16"/>
  </r>
  <r>
    <x v="4"/>
    <x v="0"/>
    <s v="CTR_16B"/>
    <x v="0"/>
    <n v="6.5793715647456223E-3"/>
    <n v="151.99019999999999"/>
    <n v="146.33199999999999"/>
    <n v="189.25800000000001"/>
    <n v="147.44900000000001"/>
    <n v="16"/>
  </r>
  <r>
    <x v="0"/>
    <x v="0"/>
    <s v="ECB_16B"/>
    <x v="1"/>
    <n v="1.4020988016962593E-2"/>
    <n v="356.60825"/>
    <n v="62.780999999999999"/>
    <n v="82.816000000000003"/>
    <n v="63.108999999999995"/>
    <n v="32"/>
  </r>
  <r>
    <x v="1"/>
    <x v="0"/>
    <s v="CBC_16B"/>
    <x v="1"/>
    <n v="1.3910947400899454E-2"/>
    <n v="359.42914999999999"/>
    <n v="317.15300000000002"/>
    <n v="458.274"/>
    <n v="344.24099999999999"/>
    <n v="32"/>
  </r>
  <r>
    <x v="2"/>
    <x v="0"/>
    <s v="CFB_16B"/>
    <x v="1"/>
    <n v="4.5571851543313524E-3"/>
    <n v="1097.1685000000002"/>
    <n v="948.50400000000002"/>
    <n v="1468.96"/>
    <n v="1071.1999999999998"/>
    <n v="32"/>
  </r>
  <r>
    <x v="3"/>
    <x v="0"/>
    <s v="OFB_16B"/>
    <x v="1"/>
    <n v="6.1555242444555659E-3"/>
    <n v="812.27850000000001"/>
    <n v="710.39"/>
    <n v="992.85299999999995"/>
    <n v="806.49800000000005"/>
    <n v="32"/>
  </r>
  <r>
    <x v="4"/>
    <x v="0"/>
    <s v="CTR_16B"/>
    <x v="1"/>
    <n v="6.0820295489323606E-3"/>
    <n v="822.09400000000005"/>
    <n v="733.077"/>
    <n v="932.97500000000002"/>
    <n v="799.89149999999995"/>
    <n v="32"/>
  </r>
  <r>
    <x v="0"/>
    <x v="0"/>
    <s v="ECB_16B"/>
    <x v="2"/>
    <n v="1.051997279955833E-2"/>
    <n v="950.57279999999992"/>
    <n v="649.44600000000003"/>
    <n v="1758.42"/>
    <n v="794.10400000000004"/>
    <n v="10485760"/>
  </r>
  <r>
    <x v="1"/>
    <x v="0"/>
    <s v="CBC_16B"/>
    <x v="2"/>
    <n v="1.2196889012700864E-2"/>
    <n v="819.88120000000004"/>
    <n v="654.41999999999996"/>
    <n v="1053.79"/>
    <n v="808.99299999999994"/>
    <n v="10485760"/>
  </r>
  <r>
    <x v="2"/>
    <x v="0"/>
    <s v="CFB_16B"/>
    <x v="2"/>
    <n v="5.8176504022614374E-3"/>
    <n v="1718.9069999999999"/>
    <n v="1506.99"/>
    <n v="1968.33"/>
    <n v="1757.2249999999999"/>
    <n v="10485760"/>
  </r>
  <r>
    <x v="3"/>
    <x v="0"/>
    <s v="OFB_16B"/>
    <x v="2"/>
    <n v="6.0835317578608362E-3"/>
    <n v="1643.7819999999999"/>
    <n v="1502.28"/>
    <n v="1834.49"/>
    <n v="1638.085"/>
    <n v="10485760"/>
  </r>
  <r>
    <x v="4"/>
    <x v="0"/>
    <s v="CTR_16B"/>
    <x v="2"/>
    <n v="5.5315822925200283E-3"/>
    <n v="1807.8010000000002"/>
    <n v="1502.41"/>
    <n v="3076.15"/>
    <n v="1684.25"/>
    <n v="10485760"/>
  </r>
  <r>
    <x v="0"/>
    <x v="0"/>
    <s v="ECB_16B"/>
    <x v="3"/>
    <n v="6.2912510078903579E-3"/>
    <n v="40691.430000000008"/>
    <n v="18018.8"/>
    <n v="212627"/>
    <n v="20381.849999999999"/>
    <n v="268435456"/>
  </r>
  <r>
    <x v="1"/>
    <x v="0"/>
    <s v="CBC_16B"/>
    <x v="3"/>
    <n v="1.2256104713094643E-2"/>
    <n v="20887.55"/>
    <n v="17765.2"/>
    <n v="24444.7"/>
    <n v="21103.5"/>
    <n v="268435456"/>
  </r>
  <r>
    <x v="2"/>
    <x v="0"/>
    <s v="CFB_16B"/>
    <x v="3"/>
    <n v="5.7108885004790669E-3"/>
    <n v="44826.650000000009"/>
    <n v="39332.1"/>
    <n v="51986.9"/>
    <n v="44299.4"/>
    <n v="268435456"/>
  </r>
  <r>
    <x v="3"/>
    <x v="0"/>
    <s v="OFB_16B"/>
    <x v="3"/>
    <n v="5.989779470826382E-3"/>
    <n v="42739.469999999994"/>
    <n v="37101.800000000003"/>
    <n v="49596.6"/>
    <n v="43845.65"/>
    <n v="268435456"/>
  </r>
  <r>
    <x v="4"/>
    <x v="0"/>
    <s v="CTR_16B"/>
    <x v="3"/>
    <n v="5.9783485699486617E-3"/>
    <n v="42821.19000000001"/>
    <n v="37510.400000000001"/>
    <n v="51647.6"/>
    <n v="42197.95"/>
    <n v="268435456"/>
  </r>
  <r>
    <x v="0"/>
    <x v="1"/>
    <s v="ECB_24B"/>
    <x v="0"/>
    <n v="1.4568414366496144E-2"/>
    <n v="68.641649999999998"/>
    <n v="64.001999999999995"/>
    <n v="85.427000000000007"/>
    <n v="65.02600000000001"/>
    <n v="16"/>
  </r>
  <r>
    <x v="1"/>
    <x v="1"/>
    <s v="CBC_24B"/>
    <x v="0"/>
    <n v="1.5119637914911215E-2"/>
    <n v="66.139150000000001"/>
    <n v="65.087999999999994"/>
    <n v="70.358999999999995"/>
    <n v="65.579499999999996"/>
    <n v="16"/>
  </r>
  <r>
    <x v="2"/>
    <x v="1"/>
    <s v="CFB_24B"/>
    <x v="0"/>
    <n v="6.4673306028263534E-3"/>
    <n v="154.62329999999997"/>
    <n v="146.31299999999999"/>
    <n v="220.245"/>
    <n v="147.51900000000001"/>
    <n v="16"/>
  </r>
  <r>
    <x v="3"/>
    <x v="1"/>
    <s v="OFB_24B"/>
    <x v="0"/>
    <n v="7.0891140627819043E-3"/>
    <n v="141.06134999999998"/>
    <n v="137.93"/>
    <n v="157.56700000000001"/>
    <n v="138.57549999999998"/>
    <n v="16"/>
  </r>
  <r>
    <x v="4"/>
    <x v="1"/>
    <s v="CTR_24B"/>
    <x v="0"/>
    <n v="7.0475267585781605E-3"/>
    <n v="141.89375000000001"/>
    <n v="139.78399999999999"/>
    <n v="148.262"/>
    <n v="140.43549999999999"/>
    <n v="16"/>
  </r>
  <r>
    <x v="0"/>
    <x v="1"/>
    <s v="ECB_24B"/>
    <x v="1"/>
    <n v="1.3846842566800282E-2"/>
    <n v="361.09315000000004"/>
    <n v="332.827"/>
    <n v="416.58499999999998"/>
    <n v="344.88800000000003"/>
    <n v="32"/>
  </r>
  <r>
    <x v="1"/>
    <x v="1"/>
    <s v="CBC_24B"/>
    <x v="1"/>
    <n v="1.4014248286232611E-2"/>
    <n v="356.77975000000004"/>
    <n v="323.90300000000002"/>
    <n v="406.51"/>
    <n v="351.18799999999999"/>
    <n v="32"/>
  </r>
  <r>
    <x v="2"/>
    <x v="1"/>
    <s v="CFB_24B"/>
    <x v="1"/>
    <n v="4.7680937475891323E-3"/>
    <n v="1048.6371000000001"/>
    <n v="941.875"/>
    <n v="1252.43"/>
    <n v="1029.19"/>
    <n v="32"/>
  </r>
  <r>
    <x v="3"/>
    <x v="1"/>
    <s v="OFB_24B"/>
    <x v="1"/>
    <n v="6.4358633076694698E-3"/>
    <n v="776.89655000000005"/>
    <n v="713.87699999999995"/>
    <n v="874.63699999999994"/>
    <n v="771.70849999999996"/>
    <n v="32"/>
  </r>
  <r>
    <x v="4"/>
    <x v="1"/>
    <s v="CTR_24B"/>
    <x v="1"/>
    <n v="6.3887076270563821E-3"/>
    <n v="782.63089999999988"/>
    <n v="719.55600000000004"/>
    <n v="888.37"/>
    <n v="763.60300000000007"/>
    <n v="32"/>
  </r>
  <r>
    <x v="0"/>
    <x v="1"/>
    <s v="ECB_24B"/>
    <x v="2"/>
    <n v="1.11611913768189E-2"/>
    <n v="895.96169999999984"/>
    <n v="728.69100000000003"/>
    <n v="1141.33"/>
    <n v="892.54899999999998"/>
    <n v="10485760"/>
  </r>
  <r>
    <x v="1"/>
    <x v="1"/>
    <s v="CBC_24B"/>
    <x v="2"/>
    <n v="1.0529189704095023E-2"/>
    <n v="949.74070000000006"/>
    <n v="787.38900000000001"/>
    <n v="1137.46"/>
    <n v="914.82300000000009"/>
    <n v="10485760"/>
  </r>
  <r>
    <x v="2"/>
    <x v="1"/>
    <s v="CFB_24B"/>
    <x v="2"/>
    <n v="4.6397597717980554E-3"/>
    <n v="2155.2840000000001"/>
    <n v="1711.42"/>
    <n v="2774.43"/>
    <n v="2177.9250000000002"/>
    <n v="10485760"/>
  </r>
  <r>
    <x v="3"/>
    <x v="1"/>
    <s v="OFB_24B"/>
    <x v="2"/>
    <n v="4.7578900090019275E-3"/>
    <n v="2101.7719999999999"/>
    <n v="1860.08"/>
    <n v="2396.67"/>
    <n v="2043.32"/>
    <n v="10485760"/>
  </r>
  <r>
    <x v="4"/>
    <x v="1"/>
    <s v="CTR_24B"/>
    <x v="2"/>
    <n v="4.8565355126874571E-3"/>
    <n v="2059.0809999999997"/>
    <n v="1497.55"/>
    <n v="2411.3000000000002"/>
    <n v="2027.175"/>
    <n v="10485760"/>
  </r>
  <r>
    <x v="0"/>
    <x v="1"/>
    <s v="ECB_24B"/>
    <x v="3"/>
    <n v="1.3616767772940399E-2"/>
    <n v="18800.349999999999"/>
    <n v="17908.7"/>
    <n v="21713.3"/>
    <n v="18261.849999999999"/>
    <n v="268435456"/>
  </r>
  <r>
    <x v="1"/>
    <x v="1"/>
    <s v="CBC_24B"/>
    <x v="3"/>
    <n v="1.4586902898520172E-2"/>
    <n v="17549.989999999998"/>
    <n v="16964.2"/>
    <n v="18130.5"/>
    <n v="17559.3"/>
    <n v="268435456"/>
  </r>
  <r>
    <x v="2"/>
    <x v="1"/>
    <s v="CFB_24B"/>
    <x v="3"/>
    <n v="6.4948392666819054E-3"/>
    <n v="39415.910000000003"/>
    <n v="38132.5"/>
    <n v="43966.7"/>
    <n v="38900.050000000003"/>
    <n v="268435456"/>
  </r>
  <r>
    <x v="3"/>
    <x v="1"/>
    <s v="OFB_24B"/>
    <x v="3"/>
    <n v="6.8637528963160438E-3"/>
    <n v="37297.37999999999"/>
    <n v="35978.1"/>
    <n v="39519.4"/>
    <n v="37014.949999999997"/>
    <n v="268435456"/>
  </r>
  <r>
    <x v="4"/>
    <x v="1"/>
    <s v="CTR_24B"/>
    <x v="3"/>
    <n v="6.6925200108962609E-3"/>
    <n v="38251.659999999989"/>
    <n v="36331.800000000003"/>
    <n v="41324.800000000003"/>
    <n v="38063.050000000003"/>
    <n v="268435456"/>
  </r>
  <r>
    <x v="0"/>
    <x v="2"/>
    <s v="ECB_32B"/>
    <x v="0"/>
    <n v="1.445461647927461E-2"/>
    <n v="69.182050000000004"/>
    <n v="64.900000000000006"/>
    <n v="89.58"/>
    <n v="66.465499999999992"/>
    <n v="16"/>
  </r>
  <r>
    <x v="1"/>
    <x v="2"/>
    <s v="CBC_32B"/>
    <x v="0"/>
    <n v="1.414327133866063E-2"/>
    <n v="70.705000000000013"/>
    <n v="65.385000000000005"/>
    <n v="108.73699999999999"/>
    <n v="66.221499999999992"/>
    <n v="16"/>
  </r>
  <r>
    <x v="2"/>
    <x v="2"/>
    <s v="CFB_32B"/>
    <x v="0"/>
    <n v="6.462355004948548E-3"/>
    <n v="154.74235000000002"/>
    <n v="148.792"/>
    <n v="179.69900000000001"/>
    <n v="151.499"/>
    <n v="16"/>
  </r>
  <r>
    <x v="3"/>
    <x v="2"/>
    <s v="OFB_32B"/>
    <x v="0"/>
    <n v="6.7161264606315791E-3"/>
    <n v="148.89534999999998"/>
    <n v="139.68199999999999"/>
    <n v="185.459"/>
    <n v="143.51150000000001"/>
    <n v="16"/>
  </r>
  <r>
    <x v="4"/>
    <x v="2"/>
    <s v="CTR_32B"/>
    <x v="0"/>
    <n v="6.7808034099304205E-3"/>
    <n v="147.47514999999996"/>
    <n v="141.797"/>
    <n v="167.58099999999999"/>
    <n v="144.95299999999997"/>
    <n v="16"/>
  </r>
  <r>
    <x v="0"/>
    <x v="2"/>
    <s v="ECB_32B"/>
    <x v="1"/>
    <n v="1.2897224852539581E-2"/>
    <n v="387.68029999999993"/>
    <n v="64.900000000000006"/>
    <n v="89.58"/>
    <n v="66.465499999999992"/>
    <n v="32"/>
  </r>
  <r>
    <x v="1"/>
    <x v="2"/>
    <s v="CBC_32B"/>
    <x v="1"/>
    <n v="1.2908084242804674E-2"/>
    <n v="387.35415000000012"/>
    <n v="333.76"/>
    <n v="506.33600000000001"/>
    <n v="364.55900000000003"/>
    <n v="32"/>
  </r>
  <r>
    <x v="2"/>
    <x v="2"/>
    <s v="CFB_32B"/>
    <x v="1"/>
    <n v="4.6894166525124435E-3"/>
    <n v="1066.2307000000001"/>
    <n v="928.85500000000002"/>
    <n v="1367.75"/>
    <n v="1031.1199999999999"/>
    <n v="32"/>
  </r>
  <r>
    <x v="3"/>
    <x v="2"/>
    <s v="OFB_32B"/>
    <x v="1"/>
    <n v="6.0983031837289464E-3"/>
    <n v="819.90020000000004"/>
    <n v="710.62099999999998"/>
    <n v="1094.99"/>
    <n v="818.62249999999995"/>
    <n v="32"/>
  </r>
  <r>
    <x v="4"/>
    <x v="2"/>
    <s v="CTR_32B"/>
    <x v="1"/>
    <n v="6.2006044349203152E-3"/>
    <n v="806.37300000000016"/>
    <n v="714.851"/>
    <n v="1025.73"/>
    <n v="782.93049999999994"/>
    <n v="32"/>
  </r>
  <r>
    <x v="0"/>
    <x v="2"/>
    <s v="ECB_32B"/>
    <x v="2"/>
    <n v="9.8226684202094329E-3"/>
    <n v="1018.0532999999999"/>
    <n v="691.39300000000003"/>
    <n v="1444.69"/>
    <n v="1015.683"/>
    <n v="10485760"/>
  </r>
  <r>
    <x v="1"/>
    <x v="2"/>
    <s v="CBC_32B"/>
    <x v="2"/>
    <n v="9.9171914513809713E-3"/>
    <n v="1008.3499999999998"/>
    <n v="701.52300000000002"/>
    <n v="1183.5899999999999"/>
    <n v="1059.125"/>
    <n v="10485760"/>
  </r>
  <r>
    <x v="2"/>
    <x v="2"/>
    <s v="CFB_32B"/>
    <x v="2"/>
    <n v="4.9332993264566425E-3"/>
    <n v="2027.0410000000004"/>
    <n v="1547.85"/>
    <n v="2555.63"/>
    <n v="1973.02"/>
    <n v="10485760"/>
  </r>
  <r>
    <x v="3"/>
    <x v="2"/>
    <s v="OFB_32B"/>
    <x v="2"/>
    <n v="4.9237410978760941E-3"/>
    <n v="2030.9760000000001"/>
    <n v="1523.98"/>
    <n v="2340.9499999999998"/>
    <n v="2192.71"/>
    <n v="10485760"/>
  </r>
  <r>
    <x v="4"/>
    <x v="2"/>
    <s v="CTR_32B"/>
    <x v="2"/>
    <n v="5.2072837402044481E-3"/>
    <n v="1920.3869999999999"/>
    <n v="1484.15"/>
    <n v="2301.23"/>
    <n v="1904.5250000000001"/>
    <n v="10485760"/>
  </r>
  <r>
    <x v="0"/>
    <x v="2"/>
    <s v="ECB_32B"/>
    <x v="3"/>
    <n v="1.4185623314071914E-2"/>
    <n v="18046.440000000002"/>
    <n v="17056.7"/>
    <n v="19476.5"/>
    <n v="18076.650000000001"/>
    <n v="268435456"/>
  </r>
  <r>
    <x v="1"/>
    <x v="2"/>
    <s v="CBC_32B"/>
    <x v="3"/>
    <n v="1.3998426270671601E-2"/>
    <n v="18287.77"/>
    <n v="17562.2"/>
    <n v="19662.7"/>
    <n v="18178.5"/>
    <n v="268435456"/>
  </r>
  <r>
    <x v="2"/>
    <x v="2"/>
    <s v="CFB_32B"/>
    <x v="3"/>
    <n v="6.4479160763423176E-3"/>
    <n v="39702.750000000007"/>
    <n v="38498.300000000003"/>
    <n v="42343.199999999997"/>
    <n v="39266.550000000003"/>
    <n v="268435456"/>
  </r>
  <r>
    <x v="3"/>
    <x v="2"/>
    <s v="OFB_32B"/>
    <x v="3"/>
    <n v="6.6517245375362546E-3"/>
    <n v="38486.259999999995"/>
    <n v="36217.4"/>
    <n v="43328.2"/>
    <n v="37419.4"/>
    <n v="268435456"/>
  </r>
  <r>
    <x v="4"/>
    <x v="2"/>
    <s v="CTR_32B"/>
    <x v="3"/>
    <n v="6.7367410541473455E-3"/>
    <n v="38000.57"/>
    <n v="36630.1"/>
    <n v="39906.9"/>
    <n v="37587.300000000003"/>
    <n v="26843545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60">
  <r>
    <x v="0"/>
    <x v="0"/>
    <s v="ECB_16B"/>
    <x v="0"/>
    <n v="8.4728422106831527E-3"/>
    <n v="118.02414999999999"/>
    <n v="114.68600000000001"/>
    <n v="141.81200000000001"/>
    <n v="115.791"/>
    <n v="64"/>
  </r>
  <r>
    <x v="1"/>
    <x v="0"/>
    <s v="CBC_16B"/>
    <x v="0"/>
    <n v="8.5082161716515596"/>
    <n v="0.11753345"/>
    <n v="0.115275"/>
    <n v="0.13567799999999999"/>
    <n v="0.1162175"/>
    <n v="64"/>
  </r>
  <r>
    <x v="2"/>
    <x v="0"/>
    <s v="CFB_16B"/>
    <x v="0"/>
    <n v="8.5261050151828606"/>
    <n v="0.11728685000000001"/>
    <n v="0.115413"/>
    <n v="0.134327"/>
    <n v="0.1163385"/>
    <n v="32"/>
  </r>
  <r>
    <x v="3"/>
    <x v="0"/>
    <s v="OFB_16B"/>
    <x v="0"/>
    <n v="8.530396147331885"/>
    <n v="0.11722784999999999"/>
    <n v="0.11550299999999999"/>
    <n v="0.124866"/>
    <n v="0.11644299999999999"/>
    <n v="32"/>
  </r>
  <r>
    <x v="4"/>
    <x v="0"/>
    <s v="CTR_16B"/>
    <x v="0"/>
    <n v="8.4297485827485179"/>
    <n v="0.11862750000000002"/>
    <n v="0.115039"/>
    <n v="0.14241999999999999"/>
    <n v="0.1159685"/>
    <n v="32"/>
  </r>
  <r>
    <x v="0"/>
    <x v="0"/>
    <s v="ECB_16B"/>
    <x v="1"/>
    <n v="8.1036416874342761E-3"/>
    <n v="617.00654999999983"/>
    <n v="114.68600000000001"/>
    <n v="141.81200000000001"/>
    <n v="115.791"/>
    <n v="96"/>
  </r>
  <r>
    <x v="1"/>
    <x v="0"/>
    <s v="CBC_16B"/>
    <x v="1"/>
    <n v="8.1604554448109212"/>
    <n v="0.61271089999999995"/>
    <n v="0.57288700000000004"/>
    <n v="0.72845700000000002"/>
    <n v="0.60290549999999998"/>
    <n v="96"/>
  </r>
  <r>
    <x v="2"/>
    <x v="0"/>
    <s v="CFB_16B"/>
    <x v="1"/>
    <n v="8.0112933600237568"/>
    <n v="0.62411895000000006"/>
    <n v="0.58389899999999995"/>
    <n v="0.71947000000000005"/>
    <n v="0.61833749999999998"/>
    <n v="64"/>
  </r>
  <r>
    <x v="3"/>
    <x v="0"/>
    <s v="OFB_16B"/>
    <x v="1"/>
    <n v="7.9618525351852174"/>
    <n v="0.62799455000000004"/>
    <n v="0.58622600000000002"/>
    <n v="0.74222200000000005"/>
    <n v="0.61710850000000006"/>
    <n v="64"/>
  </r>
  <r>
    <x v="4"/>
    <x v="0"/>
    <s v="CTR_16B"/>
    <x v="1"/>
    <n v="7.9975879274810717"/>
    <n v="0.62518850000000004"/>
    <n v="0.57581099999999996"/>
    <n v="0.82282900000000003"/>
    <n v="0.61171149999999996"/>
    <n v="64"/>
  </r>
  <r>
    <x v="0"/>
    <x v="0"/>
    <s v="ECB_16B"/>
    <x v="2"/>
    <n v="8.1124120715936575E-3"/>
    <n v="1232.6790000000001"/>
    <n v="1171.45"/>
    <n v="1416.37"/>
    <n v="1213.4449999999999"/>
    <n v="20971552"/>
  </r>
  <r>
    <x v="1"/>
    <x v="0"/>
    <s v="CBC_16B"/>
    <x v="2"/>
    <n v="8.2726534204940112"/>
    <n v="1.2088019999999999"/>
    <n v="1.1774500000000001"/>
    <n v="1.3730800000000001"/>
    <n v="1.193935"/>
    <n v="20971552"/>
  </r>
  <r>
    <x v="2"/>
    <x v="0"/>
    <s v="CFB_16B"/>
    <x v="2"/>
    <n v="8.4048586807061429"/>
    <n v="1.1897879999999998"/>
    <n v="1.13819"/>
    <n v="1.2513399999999999"/>
    <n v="1.18788"/>
    <n v="20971520"/>
  </r>
  <r>
    <x v="3"/>
    <x v="0"/>
    <s v="OFB_16B"/>
    <x v="2"/>
    <n v="8.1878019763716399"/>
    <n v="1.2213290000000003"/>
    <n v="1.1651400000000001"/>
    <n v="1.33633"/>
    <n v="1.205765"/>
    <n v="20971520"/>
  </r>
  <r>
    <x v="4"/>
    <x v="0"/>
    <s v="CTR_16B"/>
    <x v="2"/>
    <n v="8.4791176291030457"/>
    <n v="1.1793679999999997"/>
    <n v="1.14177"/>
    <n v="1.1984399999999999"/>
    <n v="1.1839949999999999"/>
    <n v="20971520"/>
  </r>
  <r>
    <x v="0"/>
    <x v="0"/>
    <s v="ECB_16B"/>
    <x v="3"/>
    <n v="6.8539013289875298E-3"/>
    <n v="37350.990000000005"/>
    <n v="32920.699999999997"/>
    <n v="41554"/>
    <n v="37727"/>
    <n v="536870944"/>
  </r>
  <r>
    <x v="1"/>
    <x v="0"/>
    <s v="CBC_16B"/>
    <x v="3"/>
    <n v="6.8276534901844483"/>
    <n v="37.494579999999999"/>
    <n v="33.158999999999999"/>
    <n v="41.776200000000003"/>
    <n v="37.652450000000002"/>
    <n v="536870944"/>
  </r>
  <r>
    <x v="2"/>
    <x v="0"/>
    <s v="CFB_16B"/>
    <x v="3"/>
    <n v="6.7023567161803275"/>
    <n v="38.195519999999995"/>
    <n v="33.603099999999998"/>
    <n v="40.6218"/>
    <n v="39.097049999999996"/>
    <n v="536870912"/>
  </r>
  <r>
    <x v="3"/>
    <x v="0"/>
    <s v="OFB_16B"/>
    <x v="3"/>
    <n v="7.1492982935797906"/>
    <n v="35.80771"/>
    <n v="32.4285"/>
    <n v="37.515999999999998"/>
    <n v="36.026949999999999"/>
    <n v="536870912"/>
  </r>
  <r>
    <x v="4"/>
    <x v="0"/>
    <s v="CTR_16B"/>
    <x v="3"/>
    <n v="6.9577166513379449"/>
    <n v="36.793680000000009"/>
    <n v="34.460900000000002"/>
    <n v="42.012300000000003"/>
    <n v="36.427399999999999"/>
    <n v="536870912"/>
  </r>
  <r>
    <x v="0"/>
    <x v="1"/>
    <s v="ECB_24B"/>
    <x v="0"/>
    <n v="7.5337086375852954E-3"/>
    <n v="132.73675"/>
    <n v="117.348"/>
    <n v="170.76300000000001"/>
    <n v="125.2295"/>
    <n v="64"/>
  </r>
  <r>
    <x v="1"/>
    <x v="1"/>
    <s v="CBC_24B"/>
    <x v="0"/>
    <n v="7.630826708503947"/>
    <n v="0.13104739999999998"/>
    <n v="0.11752899999999999"/>
    <n v="0.173041"/>
    <n v="0.124113"/>
    <n v="64"/>
  </r>
  <r>
    <x v="2"/>
    <x v="1"/>
    <s v="CFB_24B"/>
    <x v="0"/>
    <n v="7.8241414667370313"/>
    <n v="0.12780955000000002"/>
    <n v="0.11813800000000001"/>
    <n v="0.14277999999999999"/>
    <n v="0.12607950000000001"/>
    <n v="32"/>
  </r>
  <r>
    <x v="3"/>
    <x v="1"/>
    <s v="OFB_24B"/>
    <x v="0"/>
    <n v="7.8973658336261927"/>
    <n v="0.12662450000000003"/>
    <n v="0.11878"/>
    <n v="0.16004399999999999"/>
    <n v="0.1225005"/>
    <n v="32"/>
  </r>
  <r>
    <x v="4"/>
    <x v="1"/>
    <s v="CTR_24B"/>
    <x v="0"/>
    <n v="7.7933150502162283"/>
    <n v="0.12831509999999996"/>
    <n v="0.11709899999999999"/>
    <n v="0.155164"/>
    <n v="0.12345049999999999"/>
    <n v="32"/>
  </r>
  <r>
    <x v="0"/>
    <x v="1"/>
    <s v="ECB_24B"/>
    <x v="1"/>
    <n v="8.0693837895762909E-3"/>
    <n v="619.62600000000009"/>
    <n v="586.35299999999995"/>
    <n v="664.32600000000002"/>
    <n v="617.02099999999996"/>
    <n v="96"/>
  </r>
  <r>
    <x v="1"/>
    <x v="1"/>
    <s v="CBC_24B"/>
    <x v="1"/>
    <n v="8.1925639210462915"/>
    <n v="0.6103095500000002"/>
    <n v="0.581708"/>
    <n v="0.65700199999999997"/>
    <n v="0.60206000000000004"/>
    <n v="96"/>
  </r>
  <r>
    <x v="2"/>
    <x v="1"/>
    <s v="CFB_24B"/>
    <x v="1"/>
    <n v="8.1674316963812803"/>
    <n v="0.61218755000000002"/>
    <n v="0.58688399999999996"/>
    <n v="0.71741100000000002"/>
    <n v="0.60349950000000008"/>
    <n v="64"/>
  </r>
  <r>
    <x v="3"/>
    <x v="1"/>
    <s v="OFB_24B"/>
    <x v="1"/>
    <n v="8.1403878259848845"/>
    <n v="0.61422134999999989"/>
    <n v="0.58989499999999995"/>
    <n v="0.66607899999999998"/>
    <n v="0.60509799999999991"/>
    <n v="64"/>
  </r>
  <r>
    <x v="4"/>
    <x v="1"/>
    <s v="CTR_24B"/>
    <x v="1"/>
    <n v="7.9810313232334451"/>
    <n v="0.62648545"/>
    <n v="0.57643500000000003"/>
    <n v="0.74501899999999999"/>
    <n v="0.60627399999999998"/>
    <n v="64"/>
  </r>
  <r>
    <x v="0"/>
    <x v="1"/>
    <s v="ECB_24B"/>
    <x v="2"/>
    <n v="6.647605765069624E-3"/>
    <n v="1504.3009999999999"/>
    <n v="1188.31"/>
    <n v="2153.2199999999998"/>
    <n v="1502.075"/>
    <n v="20971552"/>
  </r>
  <r>
    <x v="1"/>
    <x v="1"/>
    <s v="CBC_24B"/>
    <x v="2"/>
    <n v="6.2776136530563829"/>
    <n v="1.5929619999999998"/>
    <n v="1.2234100000000001"/>
    <n v="3.05484"/>
    <n v="1.329275"/>
    <n v="20971552"/>
  </r>
  <r>
    <x v="2"/>
    <x v="1"/>
    <s v="CFB_24B"/>
    <x v="2"/>
    <n v="7.0146887582597959"/>
    <n v="1.4255800000000001"/>
    <n v="1.2072700000000001"/>
    <n v="1.7433700000000001"/>
    <n v="1.4368300000000001"/>
    <n v="20971520"/>
  </r>
  <r>
    <x v="3"/>
    <x v="1"/>
    <s v="OFB_24B"/>
    <x v="2"/>
    <n v="6.9535371600502591"/>
    <n v="1.4381170000000001"/>
    <n v="1.2158800000000001"/>
    <n v="1.7069700000000001"/>
    <n v="1.402415"/>
    <n v="20971520"/>
  </r>
  <r>
    <x v="4"/>
    <x v="1"/>
    <s v="CTR_24B"/>
    <x v="2"/>
    <n v="6.8631306444960103"/>
    <n v="1.4570609999999999"/>
    <n v="1.1827300000000001"/>
    <n v="1.7598"/>
    <n v="1.4180600000000001"/>
    <n v="20971520"/>
  </r>
  <r>
    <x v="0"/>
    <x v="1"/>
    <s v="ECB_24B"/>
    <x v="3"/>
    <n v="8.240469784032093E-3"/>
    <n v="31066.190000000002"/>
    <n v="30269.3"/>
    <n v="31891.599999999999"/>
    <n v="31056.6"/>
    <n v="536870944"/>
  </r>
  <r>
    <x v="1"/>
    <x v="1"/>
    <s v="CBC_24B"/>
    <x v="3"/>
    <n v="8.1292990416636091"/>
    <n v="31.491030000000002"/>
    <n v="30.5214"/>
    <n v="33.3994"/>
    <n v="31.226050000000001"/>
    <n v="536870944"/>
  </r>
  <r>
    <x v="2"/>
    <x v="1"/>
    <s v="CFB_24B"/>
    <x v="3"/>
    <n v="8.2743890850464972"/>
    <n v="30.938839999999999"/>
    <n v="30.180399999999999"/>
    <n v="33.586199999999998"/>
    <n v="30.522600000000001"/>
    <n v="536870912"/>
  </r>
  <r>
    <x v="3"/>
    <x v="1"/>
    <s v="OFB_24B"/>
    <x v="3"/>
    <n v="8.2229947697256325"/>
    <n v="31.132209999999997"/>
    <n v="30.393899999999999"/>
    <n v="32.526499999999999"/>
    <n v="30.959849999999999"/>
    <n v="536870912"/>
  </r>
  <r>
    <x v="4"/>
    <x v="1"/>
    <s v="CTR_24B"/>
    <x v="3"/>
    <n v="7.9828468578142724"/>
    <n v="32.068759999999997"/>
    <n v="30.331299999999999"/>
    <n v="39.975099999999998"/>
    <n v="31.36195"/>
    <n v="536870912"/>
  </r>
  <r>
    <x v="0"/>
    <x v="2"/>
    <s v="ECB_32B"/>
    <x v="0"/>
    <n v="7.9849914101454908E-3"/>
    <n v="125.23495"/>
    <n v="119.117"/>
    <n v="139.755"/>
    <n v="124.16900000000001"/>
    <n v="64"/>
  </r>
  <r>
    <x v="1"/>
    <x v="2"/>
    <s v="CBC_32B"/>
    <x v="0"/>
    <n v="7.8928560575894355"/>
    <n v="0.12669685"/>
    <n v="0.118923"/>
    <n v="0.15095700000000001"/>
    <n v="0.1241855"/>
    <n v="64"/>
  </r>
  <r>
    <x v="2"/>
    <x v="2"/>
    <s v="CFB_32B"/>
    <x v="0"/>
    <n v="7.9626614877516353"/>
    <n v="0.12558615000000001"/>
    <n v="0.118738"/>
    <n v="0.137826"/>
    <n v="0.1245305"/>
    <n v="32"/>
  </r>
  <r>
    <x v="3"/>
    <x v="2"/>
    <s v="OFB_32B"/>
    <x v="0"/>
    <n v="7.686672769884848"/>
    <n v="0.13009529999999997"/>
    <n v="0.119446"/>
    <n v="0.153618"/>
    <n v="0.1241285"/>
    <n v="32"/>
  </r>
  <r>
    <x v="4"/>
    <x v="2"/>
    <s v="CTR_32B"/>
    <x v="0"/>
    <n v="8.0823821043128383"/>
    <n v="0.12372590000000001"/>
    <n v="0.118807"/>
    <n v="0.13514100000000001"/>
    <n v="0.123044"/>
    <n v="32"/>
  </r>
  <r>
    <x v="0"/>
    <x v="2"/>
    <s v="ECB_32B"/>
    <x v="1"/>
    <n v="8.3762700938343274E-3"/>
    <n v="596.92440000000011"/>
    <n v="119.117"/>
    <n v="139.755"/>
    <n v="124.16900000000001"/>
    <n v="96"/>
  </r>
  <r>
    <x v="1"/>
    <x v="2"/>
    <s v="CBC_32B"/>
    <x v="1"/>
    <n v="8.3776728651113395"/>
    <n v="0.59682445000000006"/>
    <n v="0.580542"/>
    <n v="0.63985700000000001"/>
    <n v="0.58779049999999999"/>
    <n v="96"/>
  </r>
  <r>
    <x v="2"/>
    <x v="2"/>
    <s v="CFB_32B"/>
    <x v="1"/>
    <n v="8.3205114252270533"/>
    <n v="0.60092460000000025"/>
    <n v="0.58603700000000003"/>
    <n v="0.67068899999999998"/>
    <n v="0.58867449999999999"/>
    <n v="64"/>
  </r>
  <r>
    <x v="3"/>
    <x v="2"/>
    <s v="OFB_32B"/>
    <x v="1"/>
    <n v="8.2634486594000638"/>
    <n v="0.60507425000000004"/>
    <n v="0.58398099999999997"/>
    <n v="0.74618200000000001"/>
    <n v="0.5922695"/>
    <n v="64"/>
  </r>
  <r>
    <x v="4"/>
    <x v="2"/>
    <s v="CTR_32B"/>
    <x v="1"/>
    <n v="8.4517286700976744"/>
    <n v="0.59159494999999995"/>
    <n v="0.58213800000000004"/>
    <n v="0.619861"/>
    <n v="0.58722750000000001"/>
    <n v="64"/>
  </r>
  <r>
    <x v="0"/>
    <x v="2"/>
    <s v="ECB_32B"/>
    <x v="2"/>
    <n v="6.0504669447864635E-3"/>
    <n v="1652.7650000000001"/>
    <n v="1351.22"/>
    <n v="1886.66"/>
    <n v="1649.07"/>
    <n v="20971552"/>
  </r>
  <r>
    <x v="1"/>
    <x v="2"/>
    <s v="CBC_32B"/>
    <x v="2"/>
    <n v="6.3247946497297116"/>
    <n v="1.5810789999999997"/>
    <n v="1.2831399999999999"/>
    <n v="1.96787"/>
    <n v="1.5574049999999999"/>
    <n v="20971552"/>
  </r>
  <r>
    <x v="2"/>
    <x v="2"/>
    <s v="CFB_32B"/>
    <x v="2"/>
    <n v="6.3172031972628826"/>
    <n v="1.5829789999999999"/>
    <n v="1.3482099999999999"/>
    <n v="1.82683"/>
    <n v="1.5678450000000002"/>
    <n v="20971520"/>
  </r>
  <r>
    <x v="3"/>
    <x v="2"/>
    <s v="OFB_32B"/>
    <x v="2"/>
    <n v="6.2713854242968532"/>
    <n v="1.594544"/>
    <n v="1.3989"/>
    <n v="1.9529300000000001"/>
    <n v="1.538645"/>
    <n v="20971520"/>
  </r>
  <r>
    <x v="4"/>
    <x v="2"/>
    <s v="CTR_32B"/>
    <x v="2"/>
    <n v="6.25245408822963"/>
    <n v="1.599372"/>
    <n v="1.3454600000000001"/>
    <n v="1.8720000000000001"/>
    <n v="1.58107"/>
    <n v="20971520"/>
  </r>
  <r>
    <x v="0"/>
    <x v="2"/>
    <s v="ECB_32B"/>
    <x v="3"/>
    <n v="8.4045862776743994E-3"/>
    <n v="30459.559999999998"/>
    <n v="29912.3"/>
    <n v="32149.7"/>
    <n v="30185.449999999997"/>
    <n v="536870944"/>
  </r>
  <r>
    <x v="1"/>
    <x v="2"/>
    <s v="CBC_32B"/>
    <x v="3"/>
    <n v="8.3838657743089531"/>
    <n v="30.534840000000003"/>
    <n v="30.047599999999999"/>
    <n v="31.240500000000001"/>
    <n v="30.524100000000001"/>
    <n v="536870944"/>
  </r>
  <r>
    <x v="2"/>
    <x v="2"/>
    <s v="CFB_32B"/>
    <x v="3"/>
    <n v="8.412952397477822"/>
    <n v="30.429270000000002"/>
    <n v="30.107800000000001"/>
    <n v="31.154900000000001"/>
    <n v="30.406849999999999"/>
    <n v="536870912"/>
  </r>
  <r>
    <x v="3"/>
    <x v="2"/>
    <s v="OFB_32B"/>
    <x v="3"/>
    <n v="8.4328058547389908"/>
    <n v="30.35763"/>
    <n v="30.082699999999999"/>
    <n v="30.884399999999999"/>
    <n v="30.306849999999997"/>
    <n v="536870912"/>
  </r>
  <r>
    <x v="4"/>
    <x v="2"/>
    <s v="CTR_32B"/>
    <x v="3"/>
    <n v="8.4449791465095014"/>
    <n v="30.313869999999998"/>
    <n v="30.020499999999998"/>
    <n v="30.887599999999999"/>
    <n v="30.2834"/>
    <n v="5368709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8" cacheId="42" applyNumberFormats="0" applyBorderFormats="0" applyFontFormats="0" applyPatternFormats="0" applyAlignmentFormats="0" applyWidthHeightFormats="1" dataCaption="Values" updatedVersion="4" minRefreshableVersion="3" showDrill="0" useAutoFormatting="1" rowGrandTotals="0" colGrandTotals="0" itemPrintTitles="1" createdVersion="4" indent="0" outline="1" outlineData="1" gridDropZones="1" multipleFieldFilters="0" rowHeaderCaption="Mode/Key Size" colHeaderCaption="Input Size (KB)">
  <location ref="A4:E10" firstHeaderRow="1" firstDataRow="2" firstDataCol="1" rowPageCount="1" colPageCount="1"/>
  <pivotFields count="10">
    <pivotField axis="axisRow" showAll="0" defaultSubtotal="0">
      <items count="5">
        <item x="1"/>
        <item x="2"/>
        <item x="4"/>
        <item x="0"/>
        <item x="3"/>
      </items>
    </pivotField>
    <pivotField axis="axisPage" multipleItemSelectionAllowed="1" showAll="0">
      <items count="4">
        <item h="1" x="0"/>
        <item x="1"/>
        <item h="1" x="2"/>
        <item t="default"/>
      </items>
    </pivotField>
    <pivotField showAll="0" defaultSubtotal="0"/>
    <pivotField axis="axisCol" showAll="0">
      <items count="7">
        <item m="1" x="5"/>
        <item m="1" x="4"/>
        <item x="2"/>
        <item x="3"/>
        <item x="0"/>
        <item x="1"/>
        <item t="default"/>
      </items>
    </pivotField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0"/>
  </rowFields>
  <rowItems count="5">
    <i>
      <x/>
    </i>
    <i>
      <x v="1"/>
    </i>
    <i>
      <x v="2"/>
    </i>
    <i>
      <x v="3"/>
    </i>
    <i>
      <x v="4"/>
    </i>
  </rowItems>
  <colFields count="1">
    <field x="3"/>
  </colFields>
  <colItems count="4">
    <i>
      <x v="2"/>
    </i>
    <i>
      <x v="3"/>
    </i>
    <i>
      <x v="4"/>
    </i>
    <i>
      <x v="5"/>
    </i>
  </colItems>
  <pageFields count="1">
    <pageField fld="1" hier="-1"/>
  </pageFields>
  <dataFields count="1">
    <dataField name="Average of Throughput (KB/s)" fld="4" subtotal="average" baseField="0" baseItem="0"/>
  </dataFields>
  <formats count="12">
    <format dxfId="372">
      <pivotArea collapsedLevelsAreSubtotals="1" fieldPosition="0">
        <references count="2">
          <reference field="0" count="1" selected="0">
            <x v="0"/>
          </reference>
          <reference field="1" count="0"/>
        </references>
      </pivotArea>
    </format>
    <format dxfId="371">
      <pivotArea collapsedLevelsAreSubtotals="1" fieldPosition="0">
        <references count="1">
          <reference field="0" count="1">
            <x v="1"/>
          </reference>
        </references>
      </pivotArea>
    </format>
    <format dxfId="370">
      <pivotArea collapsedLevelsAreSubtotals="1" fieldPosition="0">
        <references count="2">
          <reference field="0" count="1" selected="0">
            <x v="1"/>
          </reference>
          <reference field="1" count="0"/>
        </references>
      </pivotArea>
    </format>
    <format dxfId="369">
      <pivotArea collapsedLevelsAreSubtotals="1" fieldPosition="0">
        <references count="1">
          <reference field="0" count="1">
            <x v="2"/>
          </reference>
        </references>
      </pivotArea>
    </format>
    <format dxfId="368">
      <pivotArea collapsedLevelsAreSubtotals="1" fieldPosition="0">
        <references count="2">
          <reference field="0" count="1" selected="0">
            <x v="2"/>
          </reference>
          <reference field="1" count="0"/>
        </references>
      </pivotArea>
    </format>
    <format dxfId="367">
      <pivotArea collapsedLevelsAreSubtotals="1" fieldPosition="0">
        <references count="1">
          <reference field="0" count="1">
            <x v="3"/>
          </reference>
        </references>
      </pivotArea>
    </format>
    <format dxfId="366">
      <pivotArea collapsedLevelsAreSubtotals="1" fieldPosition="0">
        <references count="2">
          <reference field="0" count="1" selected="0">
            <x v="3"/>
          </reference>
          <reference field="1" count="0"/>
        </references>
      </pivotArea>
    </format>
    <format dxfId="365">
      <pivotArea collapsedLevelsAreSubtotals="1" fieldPosition="0">
        <references count="1">
          <reference field="0" count="1">
            <x v="4"/>
          </reference>
        </references>
      </pivotArea>
    </format>
    <format dxfId="364">
      <pivotArea collapsedLevelsAreSubtotals="1" fieldPosition="0">
        <references count="2">
          <reference field="0" count="1" selected="0">
            <x v="4"/>
          </reference>
          <reference field="1" count="0"/>
        </references>
      </pivotArea>
    </format>
    <format dxfId="363">
      <pivotArea outline="0" collapsedLevelsAreSubtotals="1" fieldPosition="0"/>
    </format>
    <format dxfId="362">
      <pivotArea dataOnly="0" labelOnly="1" outline="0" fieldPosition="0">
        <references count="1">
          <reference field="1" count="0"/>
        </references>
      </pivotArea>
    </format>
    <format dxfId="58">
      <pivotArea type="origin" dataOnly="0" labelOnly="1" outline="0" fieldPosition="0"/>
    </format>
  </formats>
  <pivotTableStyleInfo name="PivotStyleMedium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9" cacheId="37" applyNumberFormats="0" applyBorderFormats="0" applyFontFormats="0" applyPatternFormats="0" applyAlignmentFormats="0" applyWidthHeightFormats="1" dataCaption="Values" updatedVersion="4" minRefreshableVersion="3" showDrill="0" useAutoFormatting="1" rowGrandTotals="0" colGrandTotals="0" itemPrintTitles="1" createdVersion="4" indent="0" outline="1" outlineData="1" gridDropZones="1" multipleFieldFilters="0" rowHeaderCaption="Mode/Key Size" colHeaderCaption="Input Size (KB)">
  <location ref="H4:L10" firstHeaderRow="1" firstDataRow="2" firstDataCol="1" rowPageCount="1" colPageCount="1"/>
  <pivotFields count="10">
    <pivotField axis="axisRow" showAll="0" defaultSubtotal="0">
      <items count="5">
        <item x="1"/>
        <item x="2"/>
        <item x="4"/>
        <item x="0"/>
        <item x="3"/>
      </items>
    </pivotField>
    <pivotField axis="axisPage" multipleItemSelectionAllowed="1" showAll="0" defaultSubtotal="0">
      <items count="3">
        <item h="1" x="0"/>
        <item x="1"/>
        <item h="1" x="2"/>
      </items>
    </pivotField>
    <pivotField showAll="0" defaultSubtotal="0"/>
    <pivotField axis="axisCol" showAll="0" defaultSubtotal="0">
      <items count="6">
        <item m="1" x="5"/>
        <item m="1" x="4"/>
        <item x="2"/>
        <item x="3"/>
        <item x="0"/>
        <item x="1"/>
      </items>
    </pivotField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0"/>
  </rowFields>
  <rowItems count="5">
    <i>
      <x/>
    </i>
    <i>
      <x v="1"/>
    </i>
    <i>
      <x v="2"/>
    </i>
    <i>
      <x v="3"/>
    </i>
    <i>
      <x v="4"/>
    </i>
  </rowItems>
  <colFields count="1">
    <field x="3"/>
  </colFields>
  <colItems count="4">
    <i>
      <x v="2"/>
    </i>
    <i>
      <x v="3"/>
    </i>
    <i>
      <x v="4"/>
    </i>
    <i>
      <x v="5"/>
    </i>
  </colItems>
  <pageFields count="1">
    <pageField fld="1" hier="-1"/>
  </pageFields>
  <dataFields count="1">
    <dataField name="Average of Throughput (KB/s)" fld="4" subtotal="average" baseField="0" baseItem="0"/>
  </dataFields>
  <formats count="8">
    <format dxfId="378">
      <pivotArea collapsedLevelsAreSubtotals="1" fieldPosition="0">
        <references count="1">
          <reference field="0" count="1">
            <x v="1"/>
          </reference>
        </references>
      </pivotArea>
    </format>
    <format dxfId="377">
      <pivotArea collapsedLevelsAreSubtotals="1" fieldPosition="0">
        <references count="1">
          <reference field="0" count="1">
            <x v="2"/>
          </reference>
        </references>
      </pivotArea>
    </format>
    <format dxfId="376">
      <pivotArea collapsedLevelsAreSubtotals="1" fieldPosition="0">
        <references count="1">
          <reference field="0" count="1">
            <x v="3"/>
          </reference>
        </references>
      </pivotArea>
    </format>
    <format dxfId="375">
      <pivotArea collapsedLevelsAreSubtotals="1" fieldPosition="0">
        <references count="1">
          <reference field="0" count="1">
            <x v="4"/>
          </reference>
        </references>
      </pivotArea>
    </format>
    <format dxfId="374">
      <pivotArea outline="0" collapsedLevelsAreSubtotals="1" fieldPosition="0"/>
    </format>
    <format dxfId="373">
      <pivotArea dataOnly="0" labelOnly="1" outline="0" fieldPosition="0">
        <references count="1">
          <reference field="1" count="0"/>
        </references>
      </pivotArea>
    </format>
    <format dxfId="57">
      <pivotArea field="0" type="button" dataOnly="0" labelOnly="1" outline="0" axis="axisRow" fieldPosition="0"/>
    </format>
    <format dxfId="56">
      <pivotArea type="origin" dataOnly="0" labelOnly="1" outline="0" fieldPosition="0"/>
    </format>
  </formats>
  <pivotTableStyleInfo name="PivotStyleMedium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42" applyNumberFormats="0" applyBorderFormats="0" applyFontFormats="0" applyPatternFormats="0" applyAlignmentFormats="0" applyWidthHeightFormats="1" dataCaption="Values" updatedVersion="4" minRefreshableVersion="3" showDrill="0" useAutoFormatting="1" rowGrandTotals="0" colGrandTotals="0" itemPrintTitles="1" createdVersion="4" indent="0" outline="1" outlineData="1" gridDropZones="1" multipleFieldFilters="0" rowHeaderCaption="Mode/Key Size" colHeaderCaption="Key Size (B)">
  <location ref="A4:D10" firstHeaderRow="1" firstDataRow="2" firstDataCol="1" rowPageCount="1" colPageCount="1"/>
  <pivotFields count="10">
    <pivotField axis="axisRow" showAll="0" defaultSubtotal="0">
      <items count="5">
        <item x="1"/>
        <item x="2"/>
        <item x="4"/>
        <item x="0"/>
        <item x="3"/>
      </items>
    </pivotField>
    <pivotField axis="axisCol" multipleItemSelectionAllowed="1" showAll="0">
      <items count="4">
        <item x="0"/>
        <item x="1"/>
        <item x="2"/>
        <item t="default"/>
      </items>
    </pivotField>
    <pivotField showAll="0" defaultSubtotal="0"/>
    <pivotField axis="axisPage" showAll="0" defaultSubtotal="0">
      <items count="6">
        <item m="1" x="5"/>
        <item m="1" x="4"/>
        <item x="2"/>
        <item x="3"/>
        <item x="0"/>
        <item x="1"/>
      </items>
    </pivotField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0"/>
  </rowFields>
  <rowItems count="5">
    <i>
      <x/>
    </i>
    <i>
      <x v="1"/>
    </i>
    <i>
      <x v="2"/>
    </i>
    <i>
      <x v="3"/>
    </i>
    <i>
      <x v="4"/>
    </i>
  </rowItems>
  <colFields count="1">
    <field x="1"/>
  </colFields>
  <colItems count="3">
    <i>
      <x/>
    </i>
    <i>
      <x v="1"/>
    </i>
    <i>
      <x v="2"/>
    </i>
  </colItems>
  <pageFields count="1">
    <pageField fld="3" hier="-1"/>
  </pageFields>
  <dataFields count="1">
    <dataField name="Average of Throughput (KB/s)" fld="4" subtotal="average" baseField="0" baseItem="0"/>
  </dataFields>
  <formats count="4">
    <format dxfId="357">
      <pivotArea collapsedLevelsAreSubtotals="1" fieldPosition="0">
        <references count="1">
          <reference field="0" count="1">
            <x v="1"/>
          </reference>
        </references>
      </pivotArea>
    </format>
    <format dxfId="356">
      <pivotArea collapsedLevelsAreSubtotals="1" fieldPosition="0">
        <references count="1">
          <reference field="0" count="1">
            <x v="2"/>
          </reference>
        </references>
      </pivotArea>
    </format>
    <format dxfId="355">
      <pivotArea collapsedLevelsAreSubtotals="1" fieldPosition="0">
        <references count="1">
          <reference field="0" count="1">
            <x v="3"/>
          </reference>
        </references>
      </pivotArea>
    </format>
    <format dxfId="354">
      <pivotArea collapsedLevelsAreSubtotals="1" fieldPosition="0">
        <references count="1">
          <reference field="0" count="1">
            <x v="4"/>
          </reference>
        </references>
      </pivotArea>
    </format>
  </formats>
  <pivotTableStyleInfo name="PivotStyleMedium9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5" cacheId="37" applyNumberFormats="0" applyBorderFormats="0" applyFontFormats="0" applyPatternFormats="0" applyAlignmentFormats="0" applyWidthHeightFormats="1" dataCaption="Values" updatedVersion="4" minRefreshableVersion="3" showDrill="0" useAutoFormatting="1" rowGrandTotals="0" colGrandTotals="0" itemPrintTitles="1" createdVersion="4" indent="0" outline="1" outlineData="1" gridDropZones="1" multipleFieldFilters="0" rowHeaderCaption="Mode/Input Size (KB)" colHeaderCaption="Key Size (B) ">
  <location ref="H4:K10" firstHeaderRow="1" firstDataRow="2" firstDataCol="1" rowPageCount="1" colPageCount="1"/>
  <pivotFields count="10">
    <pivotField axis="axisRow" subtotalTop="0" showAll="0" defaultSubtotal="0">
      <items count="5">
        <item x="1"/>
        <item x="2"/>
        <item x="4"/>
        <item x="0"/>
        <item x="3"/>
      </items>
    </pivotField>
    <pivotField axis="axisCol" subtotalTop="0" showAll="0">
      <items count="4">
        <item x="0"/>
        <item x="1"/>
        <item x="2"/>
        <item t="default"/>
      </items>
    </pivotField>
    <pivotField showAll="0" defaultSubtotal="0"/>
    <pivotField axis="axisPage" showAll="0" defaultSubtotal="0">
      <items count="6">
        <item m="1" x="5"/>
        <item m="1" x="4"/>
        <item x="2"/>
        <item x="3"/>
        <item x="0"/>
        <item x="1"/>
      </items>
    </pivotField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0"/>
  </rowFields>
  <rowItems count="5">
    <i>
      <x/>
    </i>
    <i>
      <x v="1"/>
    </i>
    <i>
      <x v="2"/>
    </i>
    <i>
      <x v="3"/>
    </i>
    <i>
      <x v="4"/>
    </i>
  </rowItems>
  <colFields count="1">
    <field x="1"/>
  </colFields>
  <colItems count="3">
    <i>
      <x/>
    </i>
    <i>
      <x v="1"/>
    </i>
    <i>
      <x v="2"/>
    </i>
  </colItems>
  <pageFields count="1">
    <pageField fld="3" hier="-1"/>
  </pageFields>
  <dataFields count="1">
    <dataField name="Average of Throughput (KB/s)" fld="4" subtotal="average" baseField="0" baseItem="0"/>
  </dataFields>
  <formats count="4">
    <format dxfId="361">
      <pivotArea collapsedLevelsAreSubtotals="1" fieldPosition="0">
        <references count="1">
          <reference field="0" count="1">
            <x v="1"/>
          </reference>
        </references>
      </pivotArea>
    </format>
    <format dxfId="360">
      <pivotArea collapsedLevelsAreSubtotals="1" fieldPosition="0">
        <references count="1">
          <reference field="0" count="1">
            <x v="2"/>
          </reference>
        </references>
      </pivotArea>
    </format>
    <format dxfId="359">
      <pivotArea collapsedLevelsAreSubtotals="1" fieldPosition="0">
        <references count="1">
          <reference field="0" count="1">
            <x v="3"/>
          </reference>
        </references>
      </pivotArea>
    </format>
    <format dxfId="358">
      <pivotArea collapsedLevelsAreSubtotals="1" fieldPosition="0">
        <references count="1">
          <reference field="0" count="1">
            <x v="4"/>
          </reference>
        </references>
      </pivotArea>
    </format>
  </formats>
  <pivotTableStyleInfo name="PivotStyleMedium9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0" cacheId="42" applyNumberFormats="0" applyBorderFormats="0" applyFontFormats="0" applyPatternFormats="0" applyAlignmentFormats="0" applyWidthHeightFormats="1" dataCaption="Values" updatedVersion="4" minRefreshableVersion="3" useAutoFormatting="1" rowGrandTotals="0" colGrandTotals="0" itemPrintTitles="1" createdVersion="4" indent="0" outline="1" outlineData="1" gridDropZones="1" multipleFieldFilters="0" rowHeaderCaption="Input Size (KB)" colHeaderCaption="Key Size (B)">
  <location ref="A4:D9" firstHeaderRow="1" firstDataRow="2" firstDataCol="1" rowPageCount="1" colPageCount="1"/>
  <pivotFields count="10">
    <pivotField axis="axisPage" multipleItemSelectionAllowed="1" showAll="0">
      <items count="6">
        <item x="1"/>
        <item h="1" x="2"/>
        <item h="1" x="4"/>
        <item h="1" x="0"/>
        <item h="1" x="3"/>
        <item t="default"/>
      </items>
    </pivotField>
    <pivotField axis="axisCol" showAll="0">
      <items count="4">
        <item x="0"/>
        <item x="1"/>
        <item x="2"/>
        <item t="default"/>
      </items>
    </pivotField>
    <pivotField showAll="0" defaultSubtotal="0"/>
    <pivotField axis="axisRow" showAll="0" sortType="ascending">
      <items count="7">
        <item m="1" x="5"/>
        <item m="1" x="4"/>
        <item x="0"/>
        <item x="1"/>
        <item x="2"/>
        <item x="3"/>
        <item t="default"/>
      </items>
    </pivotField>
    <pivotField dataField="1" showAll="0" defaultSubtotal="0"/>
    <pivotField showAll="0"/>
    <pivotField showAll="0"/>
    <pivotField showAll="0"/>
    <pivotField showAll="0"/>
    <pivotField showAll="0"/>
  </pivotFields>
  <rowFields count="1">
    <field x="3"/>
  </rowFields>
  <rowItems count="4">
    <i>
      <x v="2"/>
    </i>
    <i>
      <x v="3"/>
    </i>
    <i>
      <x v="4"/>
    </i>
    <i>
      <x v="5"/>
    </i>
  </rowItems>
  <colFields count="1">
    <field x="1"/>
  </colFields>
  <colItems count="3">
    <i>
      <x/>
    </i>
    <i>
      <x v="1"/>
    </i>
    <i>
      <x v="2"/>
    </i>
  </colItems>
  <pageFields count="1">
    <pageField fld="0" hier="-1"/>
  </pageFields>
  <dataFields count="1">
    <dataField name="Average of Throughput (KB/s)" fld="4" subtotal="average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1" cacheId="37" applyNumberFormats="0" applyBorderFormats="0" applyFontFormats="0" applyPatternFormats="0" applyAlignmentFormats="0" applyWidthHeightFormats="1" dataCaption="Values" updatedVersion="4" minRefreshableVersion="3" useAutoFormatting="1" rowGrandTotals="0" colGrandTotals="0" itemPrintTitles="1" createdVersion="4" indent="0" outline="1" outlineData="1" gridDropZones="1" multipleFieldFilters="0" rowHeaderCaption="Input Size (KB)" colHeaderCaption="Key Size (KB)">
  <location ref="L4:O9" firstHeaderRow="1" firstDataRow="2" firstDataCol="1" rowPageCount="1" colPageCount="1"/>
  <pivotFields count="10">
    <pivotField axis="axisPage" multipleItemSelectionAllowed="1" showAll="0">
      <items count="6">
        <item x="1"/>
        <item h="1" x="2"/>
        <item h="1" x="4"/>
        <item h="1" x="0"/>
        <item h="1" x="3"/>
        <item t="default"/>
      </items>
    </pivotField>
    <pivotField axis="axisCol" showAll="0">
      <items count="4">
        <item x="0"/>
        <item x="1"/>
        <item x="2"/>
        <item t="default"/>
      </items>
    </pivotField>
    <pivotField showAll="0" defaultSubtotal="0"/>
    <pivotField axis="axisRow" showAll="0" sortType="ascending">
      <items count="7">
        <item m="1" x="5"/>
        <item m="1" x="4"/>
        <item x="0"/>
        <item x="1"/>
        <item x="2"/>
        <item x="3"/>
        <item t="default"/>
      </items>
    </pivotField>
    <pivotField dataField="1" showAll="0" defaultSubtotal="0"/>
    <pivotField showAll="0"/>
    <pivotField showAll="0"/>
    <pivotField showAll="0"/>
    <pivotField showAll="0"/>
    <pivotField showAll="0"/>
  </pivotFields>
  <rowFields count="1">
    <field x="3"/>
  </rowFields>
  <rowItems count="4">
    <i>
      <x v="2"/>
    </i>
    <i>
      <x v="3"/>
    </i>
    <i>
      <x v="4"/>
    </i>
    <i>
      <x v="5"/>
    </i>
  </rowItems>
  <colFields count="1">
    <field x="1"/>
  </colFields>
  <colItems count="3">
    <i>
      <x/>
    </i>
    <i>
      <x v="1"/>
    </i>
    <i>
      <x v="2"/>
    </i>
  </colItems>
  <pageFields count="1">
    <pageField fld="0" hier="-1"/>
  </pageFields>
  <dataFields count="1">
    <dataField name="Average of Throughput (KB/s)" fld="4" subtotal="average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61" name="SummaryEncryption" displayName="SummaryEncryption" ref="A2:J62" totalsRowShown="0" headerRowDxfId="401" dataDxfId="400">
  <autoFilter ref="A2:J62"/>
  <tableColumns count="10">
    <tableColumn id="1" name="Mode" dataDxfId="399"/>
    <tableColumn id="2" name="Key size (B)" dataDxfId="194"/>
    <tableColumn id="10" name="Mode_Key" dataDxfId="398">
      <calculatedColumnFormula>CONCATENATE(SummaryEncryption[[#This Row],[Mode]],"_",SummaryEncryption[[#This Row],[Key size (B)]])</calculatedColumnFormula>
    </tableColumn>
    <tableColumn id="3" name="Test Size (KB)" dataDxfId="397"/>
    <tableColumn id="9" name="Throughput (KB/s)" dataDxfId="396">
      <calculatedColumnFormula>SummaryEncryption[[#This Row],[Test Size (KB)]]/SummaryEncryption[[#This Row],[Average (ms)]]/1000</calculatedColumnFormula>
    </tableColumn>
    <tableColumn id="4" name="Average (ms)" dataDxfId="395"/>
    <tableColumn id="5" name="Min (ms)" dataDxfId="394"/>
    <tableColumn id="6" name="Max (ms)" dataDxfId="393"/>
    <tableColumn id="7" name="Median (ms)" dataDxfId="392"/>
    <tableColumn id="8" name="Cipher size (B)" dataDxfId="391">
      <calculatedColumnFormula>VLOOKUP(SummaryEncryption[[#This Row],[Mode]],EncFileSummary[#All],6,FALSE)</calculatedColumnFormula>
    </tableColumn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62" name="SummaryDecryption" displayName="SummaryDecryption" ref="O2:X62" totalsRowShown="0" headerRowDxfId="390" dataDxfId="389">
  <autoFilter ref="O2:X62"/>
  <tableColumns count="10">
    <tableColumn id="1" name="Mode" dataDxfId="388"/>
    <tableColumn id="2" name="Key size (B)" dataDxfId="387"/>
    <tableColumn id="11" name="Mode_Key" dataDxfId="386">
      <calculatedColumnFormula>CONCATENATE(SummaryDecryption[[#This Row],[Mode]],"_",SummaryDecryption[[#This Row],[Key size (B)]])</calculatedColumnFormula>
    </tableColumn>
    <tableColumn id="3" name="Test Size (KB)" dataDxfId="385"/>
    <tableColumn id="10" name="Throughput (KB/s)" dataDxfId="384">
      <calculatedColumnFormula>SummaryDecryption[[#This Row],[Test Size (KB)]]/SummaryDecryption[[#This Row],[Average (ms)]]/1000</calculatedColumnFormula>
    </tableColumn>
    <tableColumn id="4" name="Average (ms)" dataDxfId="383"/>
    <tableColumn id="5" name="Min (ms)" dataDxfId="382"/>
    <tableColumn id="6" name="Max (ms)" dataDxfId="381"/>
    <tableColumn id="7" name="Median (ms)" dataDxfId="380"/>
    <tableColumn id="8" name="Plain size (B)" dataDxfId="379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id="7" name="Decrypt32x16" displayName="Decrypt32x16" ref="AK2:AO102" totalsRowShown="0">
  <autoFilter ref="AK2:AO102"/>
  <tableColumns count="5">
    <tableColumn id="1" name="ECB" totalsRowDxfId="353"/>
    <tableColumn id="2" name="CBC" totalsRowDxfId="352"/>
    <tableColumn id="3" name="OFB" totalsRowDxfId="351"/>
    <tableColumn id="4" name="CFB" totalsRowDxfId="350"/>
    <tableColumn id="5" name="CTR" totalsRowDxfId="349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id="8" name="Decrypt24x16" displayName="Decrypt24x16" ref="AD2:AH102">
  <autoFilter ref="AD2:AH102"/>
  <tableColumns count="5">
    <tableColumn id="1" name="ECB" totalsRowDxfId="348"/>
    <tableColumn id="2" name="CBC" totalsRowDxfId="347"/>
    <tableColumn id="3" name="OFB" totalsRowDxfId="346"/>
    <tableColumn id="4" name="CFB" totalsRowDxfId="345"/>
    <tableColumn id="5" name="CTR" totalsRowDxfId="344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id="9" name="Decrypt16x16" displayName="Decrypt16x16" ref="W2:AA22">
  <autoFilter ref="W2:AA22"/>
  <tableColumns count="5">
    <tableColumn id="1" name="ECB" totalsRowDxfId="343"/>
    <tableColumn id="2" name="CBC" totalsRowDxfId="342"/>
    <tableColumn id="3" name="OFB" totalsRowDxfId="341"/>
    <tableColumn id="4" name="CFB" totalsRowDxfId="340"/>
    <tableColumn id="5" name="CTR" totalsRowDxfId="339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0" name="Encrypt32x16" displayName="Encrypt32x16" ref="P2:T22">
  <autoFilter ref="P2:T22"/>
  <tableColumns count="5">
    <tableColumn id="1" name="ECB" totalsRowDxfId="338"/>
    <tableColumn id="2" name="CBC" dataDxfId="337" totalsRowDxfId="336"/>
    <tableColumn id="3" name="OFB" dataDxfId="335" totalsRowDxfId="334"/>
    <tableColumn id="4" name="CFB" dataDxfId="333" totalsRowDxfId="332"/>
    <tableColumn id="5" name="CTR" dataDxfId="331" totalsRowDxfId="330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11" name="Encrypt24x16" displayName="Encrypt24x16" ref="I2:M22">
  <autoFilter ref="I2:M22"/>
  <tableColumns count="5">
    <tableColumn id="1" name="ECB" totalsRowDxfId="329"/>
    <tableColumn id="2" name="CBC" dataDxfId="328" totalsRowDxfId="327"/>
    <tableColumn id="3" name="OFB" dataDxfId="326" totalsRowDxfId="325"/>
    <tableColumn id="4" name="CFB" dataDxfId="324" totalsRowDxfId="323"/>
    <tableColumn id="5" name="CTR" dataDxfId="322" totalsRowDxfId="321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12" name="Encrypt16x16" displayName="Encrypt16x16" ref="B2:F22">
  <autoFilter ref="B2:F22"/>
  <tableColumns count="5">
    <tableColumn id="1" name="ECB" totalsRowDxfId="320"/>
    <tableColumn id="2" name="CBC" dataDxfId="319" totalsRowDxfId="318"/>
    <tableColumn id="3" name="OFB" dataDxfId="317" totalsRowDxfId="316"/>
    <tableColumn id="4" name="CFB" dataDxfId="315" totalsRowDxfId="314"/>
    <tableColumn id="5" name="CTR" dataDxfId="313" totalsRowDxfId="312"/>
  </tableColumns>
  <tableStyleInfo name="TableStyleMedium9" showFirstColumn="0" showLastColumn="0" showRowStripes="1" showColumnStripes="0"/>
</table>
</file>

<file path=xl/tables/table9.xml><?xml version="1.0" encoding="utf-8"?>
<table xmlns="http://schemas.openxmlformats.org/spreadsheetml/2006/main" id="19" name="SumEnc16x16" displayName="SumEnc16x16" ref="A105:F109" totalsRowShown="0" headerRowDxfId="311">
  <autoFilter ref="A105:F109"/>
  <tableColumns count="6">
    <tableColumn id="1" name="Metric"/>
    <tableColumn id="2" name="ECB"/>
    <tableColumn id="3" name="CBC"/>
    <tableColumn id="4" name="OFB"/>
    <tableColumn id="5" name="CFB"/>
    <tableColumn id="6" name="CTR"/>
  </tableColumns>
  <tableStyleInfo name="TableStyleMedium9" showFirstColumn="0" showLastColumn="0" showRowStripes="1" showColumnStripes="0"/>
</table>
</file>

<file path=xl/tables/table10.xml><?xml version="1.0" encoding="utf-8"?>
<table xmlns="http://schemas.openxmlformats.org/spreadsheetml/2006/main" id="21" name="SumEnc24x16" displayName="SumEnc24x16" ref="H105:M109" totalsRowShown="0" headerRowDxfId="310" headerRowBorderDxfId="309" totalsRowBorderDxfId="308">
  <autoFilter ref="H105:M109"/>
  <tableColumns count="6">
    <tableColumn id="1" name="Metric"/>
    <tableColumn id="2" name="ECB"/>
    <tableColumn id="3" name="CBC"/>
    <tableColumn id="4" name="OFB"/>
    <tableColumn id="5" name="CFB"/>
    <tableColumn id="6" name="CTR"/>
  </tableColumns>
  <tableStyleInfo name="TableStyleMedium9" showFirstColumn="0" showLastColumn="0" showRowStripes="1" showColumnStripes="0"/>
</table>
</file>

<file path=xl/tables/table11.xml><?xml version="1.0" encoding="utf-8"?>
<table xmlns="http://schemas.openxmlformats.org/spreadsheetml/2006/main" id="24" name="SumEnc32x16" displayName="SumEnc32x16" ref="O105:T109" totalsRowShown="0" headerRowDxfId="307" headerRowBorderDxfId="306" totalsRowBorderDxfId="305">
  <autoFilter ref="O105:T109"/>
  <tableColumns count="6">
    <tableColumn id="1" name="Metric"/>
    <tableColumn id="2" name="ECB"/>
    <tableColumn id="3" name="CBC"/>
    <tableColumn id="4" name="OFB"/>
    <tableColumn id="5" name="CFB"/>
    <tableColumn id="6" name="CTR"/>
  </tableColumns>
  <tableStyleInfo name="TableStyleMedium9" showFirstColumn="0" showLastColumn="0" showRowStripes="1" showColumnStripes="0"/>
</table>
</file>

<file path=xl/tables/table12.xml><?xml version="1.0" encoding="utf-8"?>
<table xmlns="http://schemas.openxmlformats.org/spreadsheetml/2006/main" id="25" name="SumDec16x16" displayName="SumDec16x16" ref="V105:AA109" totalsRowShown="0" headerRowDxfId="304" headerRowBorderDxfId="303" totalsRowBorderDxfId="302">
  <autoFilter ref="V105:AA109"/>
  <tableColumns count="6">
    <tableColumn id="1" name="Metric"/>
    <tableColumn id="2" name="ECB"/>
    <tableColumn id="3" name="CBC"/>
    <tableColumn id="4" name="OFB"/>
    <tableColumn id="5" name="CFB"/>
    <tableColumn id="6" name="CTR"/>
  </tableColumns>
  <tableStyleInfo name="TableStyleMedium9" showFirstColumn="0" showLastColumn="0" showRowStripes="1" showColumnStripes="0"/>
</table>
</file>

<file path=xl/tables/table13.xml><?xml version="1.0" encoding="utf-8"?>
<table xmlns="http://schemas.openxmlformats.org/spreadsheetml/2006/main" id="26" name="SumDec24x16" displayName="SumDec24x16" ref="AC105:AH109" totalsRowShown="0" headerRowDxfId="301" headerRowBorderDxfId="300" totalsRowBorderDxfId="299">
  <autoFilter ref="AC105:AH109"/>
  <tableColumns count="6">
    <tableColumn id="1" name="Metric"/>
    <tableColumn id="2" name="ECB"/>
    <tableColumn id="3" name="CBC"/>
    <tableColumn id="4" name="OFB"/>
    <tableColumn id="5" name="CFB"/>
    <tableColumn id="6" name="CTR"/>
  </tableColumns>
  <tableStyleInfo name="TableStyleMedium9" showFirstColumn="0" showLastColumn="0" showRowStripes="1" showColumnStripes="0"/>
</table>
</file>

<file path=xl/tables/table14.xml><?xml version="1.0" encoding="utf-8"?>
<table xmlns="http://schemas.openxmlformats.org/spreadsheetml/2006/main" id="27" name="SumDec32x16" displayName="SumDec32x16" ref="AJ105:AO109" totalsRowShown="0" headerRowDxfId="298" headerRowBorderDxfId="297" totalsRowBorderDxfId="296">
  <autoFilter ref="AJ105:AO109"/>
  <tableColumns count="6">
    <tableColumn id="1" name="Metric"/>
    <tableColumn id="2" name="ECB"/>
    <tableColumn id="3" name="CBC"/>
    <tableColumn id="4" name="OFB"/>
    <tableColumn id="5" name="CFB"/>
    <tableColumn id="6" name="CTR"/>
  </tableColumns>
  <tableStyleInfo name="TableStyleMedium9" showFirstColumn="0" showLastColumn="0" showRowStripes="1" showColumnStripes="0"/>
</table>
</file>

<file path=xl/tables/table15.xml><?xml version="1.0" encoding="utf-8"?>
<table xmlns="http://schemas.openxmlformats.org/spreadsheetml/2006/main" id="13" name="Encrypt16x32" displayName="Encrypt16x32" ref="B2:F22">
  <autoFilter ref="B2:F22"/>
  <tableColumns count="5">
    <tableColumn id="1" name="ECB" totalsRowDxfId="295"/>
    <tableColumn id="2" name="CBC" dataDxfId="294" totalsRowDxfId="293"/>
    <tableColumn id="3" name="OFB" dataDxfId="292" totalsRowDxfId="291"/>
    <tableColumn id="4" name="CFB" dataDxfId="290" totalsRowDxfId="289"/>
    <tableColumn id="5" name="CTR" dataDxfId="288" totalsRowDxfId="287"/>
  </tableColumns>
  <tableStyleInfo name="TableStyleMedium9" showFirstColumn="0" showLastColumn="0" showRowStripes="1" showColumnStripes="0"/>
</table>
</file>

<file path=xl/tables/table16.xml><?xml version="1.0" encoding="utf-8"?>
<table xmlns="http://schemas.openxmlformats.org/spreadsheetml/2006/main" id="14" name="Encrypt24x32" displayName="Encrypt24x32" ref="I2:M22">
  <autoFilter ref="I2:M22"/>
  <tableColumns count="5">
    <tableColumn id="1" name="ECB" totalsRowDxfId="286"/>
    <tableColumn id="2" name="CBC" dataDxfId="285" totalsRowDxfId="284"/>
    <tableColumn id="3" name="OFB" dataDxfId="283" totalsRowDxfId="282"/>
    <tableColumn id="4" name="CFB" dataDxfId="281" totalsRowDxfId="280"/>
    <tableColumn id="5" name="CTR" dataDxfId="279" totalsRowDxfId="278"/>
  </tableColumns>
  <tableStyleInfo name="TableStyleMedium9" showFirstColumn="0" showLastColumn="0" showRowStripes="1" showColumnStripes="0"/>
</table>
</file>

<file path=xl/tables/table17.xml><?xml version="1.0" encoding="utf-8"?>
<table xmlns="http://schemas.openxmlformats.org/spreadsheetml/2006/main" id="15" name="Encrypt32x32" displayName="Encrypt32x32" ref="P2:T22">
  <autoFilter ref="P2:T22"/>
  <tableColumns count="5">
    <tableColumn id="1" name="ECB" totalsRowDxfId="277"/>
    <tableColumn id="2" name="CBC" dataDxfId="276" totalsRowDxfId="275"/>
    <tableColumn id="3" name="OFB" dataDxfId="274" totalsRowDxfId="273"/>
    <tableColumn id="4" name="CFB" dataDxfId="272" totalsRowDxfId="271"/>
    <tableColumn id="5" name="CTR" dataDxfId="270" totalsRowDxfId="269"/>
  </tableColumns>
  <tableStyleInfo name="TableStyleMedium9" showFirstColumn="0" showLastColumn="0" showRowStripes="1" showColumnStripes="0"/>
</table>
</file>

<file path=xl/tables/table18.xml><?xml version="1.0" encoding="utf-8"?>
<table xmlns="http://schemas.openxmlformats.org/spreadsheetml/2006/main" id="16" name="Decrypt16x32" displayName="Decrypt16x32" ref="W2:AA22" totalsRowShown="0">
  <autoFilter ref="W2:AA22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19.xml><?xml version="1.0" encoding="utf-8"?>
<table xmlns="http://schemas.openxmlformats.org/spreadsheetml/2006/main" id="17" name="Decrypt24x32" displayName="Decrypt24x32" ref="AD2:AH22" totalsRowShown="0">
  <autoFilter ref="AD2:AH22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20.xml><?xml version="1.0" encoding="utf-8"?>
<table xmlns="http://schemas.openxmlformats.org/spreadsheetml/2006/main" id="18" name="Decrypt32x32" displayName="Decrypt32x32" ref="AK2:AO22" totalsRowShown="0">
  <autoFilter ref="AK2:AO22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21.xml><?xml version="1.0" encoding="utf-8"?>
<table xmlns="http://schemas.openxmlformats.org/spreadsheetml/2006/main" id="28" name="SumEnc16X32" displayName="SumEnc16X32" ref="A105:F109" totalsRowShown="0" headerRowDxfId="268" dataDxfId="266" headerRowBorderDxfId="267" totalsRowBorderDxfId="265">
  <autoFilter ref="A105:F109"/>
  <tableColumns count="6">
    <tableColumn id="1" name="Metric"/>
    <tableColumn id="2" name="ECB" dataDxfId="264"/>
    <tableColumn id="3" name="CBC" dataDxfId="263"/>
    <tableColumn id="4" name="OFB" dataDxfId="262"/>
    <tableColumn id="5" name="CFB" dataDxfId="261"/>
    <tableColumn id="6" name="CTR" dataDxfId="260"/>
  </tableColumns>
  <tableStyleInfo name="TableStyleMedium9" showFirstColumn="0" showLastColumn="0" showRowStripes="1" showColumnStripes="0"/>
</table>
</file>

<file path=xl/tables/table22.xml><?xml version="1.0" encoding="utf-8"?>
<table xmlns="http://schemas.openxmlformats.org/spreadsheetml/2006/main" id="29" name="SumEnc24x32" displayName="SumEnc24x32" ref="H105:M109" totalsRowShown="0" headerRowDxfId="259" dataDxfId="257" headerRowBorderDxfId="258">
  <autoFilter ref="H105:M109"/>
  <tableColumns count="6">
    <tableColumn id="1" name="Metric"/>
    <tableColumn id="2" name="ECB" dataDxfId="256"/>
    <tableColumn id="3" name="CBC" dataDxfId="255"/>
    <tableColumn id="4" name="OFB" dataDxfId="254"/>
    <tableColumn id="5" name="CFB" dataDxfId="253"/>
    <tableColumn id="6" name="CTR" dataDxfId="252"/>
  </tableColumns>
  <tableStyleInfo name="TableStyleMedium9" showFirstColumn="0" showLastColumn="0" showRowStripes="1" showColumnStripes="0"/>
</table>
</file>

<file path=xl/tables/table23.xml><?xml version="1.0" encoding="utf-8"?>
<table xmlns="http://schemas.openxmlformats.org/spreadsheetml/2006/main" id="30" name="SumEnc32x32" displayName="SumEnc32x32" ref="O105:T109" totalsRowShown="0" headerRowDxfId="251" dataDxfId="249" headerRowBorderDxfId="250">
  <autoFilter ref="O105:T109"/>
  <tableColumns count="6">
    <tableColumn id="1" name="Metric"/>
    <tableColumn id="2" name="ECB" dataDxfId="248"/>
    <tableColumn id="3" name="CBC" dataDxfId="247"/>
    <tableColumn id="4" name="OFB" dataDxfId="246"/>
    <tableColumn id="5" name="CFB" dataDxfId="245"/>
    <tableColumn id="6" name="CTR" dataDxfId="244"/>
  </tableColumns>
  <tableStyleInfo name="TableStyleMedium9" showFirstColumn="0" showLastColumn="0" showRowStripes="1" showColumnStripes="0"/>
</table>
</file>

<file path=xl/tables/table24.xml><?xml version="1.0" encoding="utf-8"?>
<table xmlns="http://schemas.openxmlformats.org/spreadsheetml/2006/main" id="31" name="SumDec16x32" displayName="SumDec16x32" ref="V105:AA109" totalsRowShown="0" headerRowDxfId="243" dataDxfId="241" headerRowBorderDxfId="242" totalsRowBorderDxfId="240">
  <autoFilter ref="V105:AA109"/>
  <tableColumns count="6">
    <tableColumn id="1" name="Metric"/>
    <tableColumn id="2" name="ECB" dataDxfId="239"/>
    <tableColumn id="3" name="CBC" dataDxfId="238"/>
    <tableColumn id="4" name="OFB" dataDxfId="237"/>
    <tableColumn id="5" name="CFB" dataDxfId="236"/>
    <tableColumn id="6" name="CTR" dataDxfId="235"/>
  </tableColumns>
  <tableStyleInfo name="TableStyleMedium9" showFirstColumn="0" showLastColumn="0" showRowStripes="1" showColumnStripes="0"/>
</table>
</file>

<file path=xl/tables/table25.xml><?xml version="1.0" encoding="utf-8"?>
<table xmlns="http://schemas.openxmlformats.org/spreadsheetml/2006/main" id="32" name="SumDec24x32" displayName="SumDec24x32" ref="AC105:AH109" totalsRowShown="0" headerRowDxfId="234" dataDxfId="232" headerRowBorderDxfId="233">
  <autoFilter ref="AC105:AH109"/>
  <tableColumns count="6">
    <tableColumn id="1" name="Metric"/>
    <tableColumn id="2" name="ECB" dataDxfId="231"/>
    <tableColumn id="3" name="CBC" dataDxfId="230"/>
    <tableColumn id="4" name="OFB" dataDxfId="229"/>
    <tableColumn id="5" name="CFB" dataDxfId="228"/>
    <tableColumn id="6" name="CTR" dataDxfId="227"/>
  </tableColumns>
  <tableStyleInfo name="TableStyleMedium9" showFirstColumn="0" showLastColumn="0" showRowStripes="1" showColumnStripes="0"/>
</table>
</file>

<file path=xl/tables/table26.xml><?xml version="1.0" encoding="utf-8"?>
<table xmlns="http://schemas.openxmlformats.org/spreadsheetml/2006/main" id="33" name="SumDec32x32" displayName="SumDec32x32" ref="AJ105:AO109" totalsRowShown="0" headerRowDxfId="226" dataDxfId="224" headerRowBorderDxfId="225">
  <autoFilter ref="AJ105:AO109"/>
  <tableColumns count="6">
    <tableColumn id="1" name="Metric"/>
    <tableColumn id="2" name="ECB" dataDxfId="223"/>
    <tableColumn id="3" name="CBC" dataDxfId="222"/>
    <tableColumn id="4" name="OFB" dataDxfId="221"/>
    <tableColumn id="5" name="CFB" dataDxfId="220"/>
    <tableColumn id="6" name="CTR" dataDxfId="219"/>
  </tableColumns>
  <tableStyleInfo name="TableStyleMedium9" showFirstColumn="0" showLastColumn="0" showRowStripes="1" showColumnStripes="0"/>
</table>
</file>

<file path=xl/tables/table27.xml><?xml version="1.0" encoding="utf-8"?>
<table xmlns="http://schemas.openxmlformats.org/spreadsheetml/2006/main" id="35" name="Enc16x10" displayName="Enc16x10" ref="B2:F102" totalsRowShown="0">
  <autoFilter ref="B2:F102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28.xml><?xml version="1.0" encoding="utf-8"?>
<table xmlns="http://schemas.openxmlformats.org/spreadsheetml/2006/main" id="36" name="Enc24x10" displayName="Enc24x10" ref="I2:M102" totalsRowShown="0">
  <autoFilter ref="I2:M102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29.xml><?xml version="1.0" encoding="utf-8"?>
<table xmlns="http://schemas.openxmlformats.org/spreadsheetml/2006/main" id="37" name="Enc32x10" displayName="Enc32x10" ref="P2:T102" totalsRowShown="0">
  <autoFilter ref="P2:T102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30.xml><?xml version="1.0" encoding="utf-8"?>
<table xmlns="http://schemas.openxmlformats.org/spreadsheetml/2006/main" id="38" name="Dec16x10" displayName="Dec16x10" ref="W2:AA102" totalsRowShown="0">
  <autoFilter ref="W2:AA102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31.xml><?xml version="1.0" encoding="utf-8"?>
<table xmlns="http://schemas.openxmlformats.org/spreadsheetml/2006/main" id="39" name="DEc24x10" displayName="DEc24x10" ref="AD2:AH102" totalsRowShown="0">
  <autoFilter ref="AD2:AH102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32.xml><?xml version="1.0" encoding="utf-8"?>
<table xmlns="http://schemas.openxmlformats.org/spreadsheetml/2006/main" id="40" name="Dec32x10" displayName="Dec32x10" ref="AK2:AO102" totalsRowShown="0">
  <autoFilter ref="AK2:AO102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33.xml><?xml version="1.0" encoding="utf-8"?>
<table xmlns="http://schemas.openxmlformats.org/spreadsheetml/2006/main" id="41" name="SumEnc16x10" displayName="SumEnc16x10" ref="B105:F109" totalsRowShown="0" headerRowDxfId="218" headerRowBorderDxfId="217">
  <autoFilter ref="B105:F109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34.xml><?xml version="1.0" encoding="utf-8"?>
<table xmlns="http://schemas.openxmlformats.org/spreadsheetml/2006/main" id="42" name="SumEnc24x10" displayName="SumEnc24x10" ref="I105:M109" totalsRowShown="0" headerRowDxfId="216" headerRowBorderDxfId="215">
  <autoFilter ref="I105:M109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35.xml><?xml version="1.0" encoding="utf-8"?>
<table xmlns="http://schemas.openxmlformats.org/spreadsheetml/2006/main" id="43" name="SumEnc32x10" displayName="SumEnc32x10" ref="P105:T109" totalsRowShown="0" headerRowDxfId="214" headerRowBorderDxfId="213">
  <autoFilter ref="P105:T109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36.xml><?xml version="1.0" encoding="utf-8"?>
<table xmlns="http://schemas.openxmlformats.org/spreadsheetml/2006/main" id="44" name="SumDec16x10" displayName="SumDec16x10" ref="W105:AA109" totalsRowShown="0" headerRowDxfId="212" headerRowBorderDxfId="211">
  <autoFilter ref="W105:AA109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37.xml><?xml version="1.0" encoding="utf-8"?>
<table xmlns="http://schemas.openxmlformats.org/spreadsheetml/2006/main" id="45" name="SumDec24x10" displayName="SumDec24x10" ref="AD105:AH109" totalsRowShown="0" headerRowDxfId="210" headerRowBorderDxfId="209">
  <autoFilter ref="AD105:AH109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38.xml><?xml version="1.0" encoding="utf-8"?>
<table xmlns="http://schemas.openxmlformats.org/spreadsheetml/2006/main" id="46" name="SumDec32x10" displayName="SumDec32x10" ref="AK105:AO109" totalsRowShown="0" headerRowDxfId="208" headerRowBorderDxfId="207">
  <autoFilter ref="AK105:AO109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39.xml><?xml version="1.0" encoding="utf-8"?>
<table xmlns="http://schemas.openxmlformats.org/spreadsheetml/2006/main" id="47" name="Encrypt16x256" displayName="Encrypt16x256" ref="B2:F12">
  <autoFilter ref="B2:F12"/>
  <tableColumns count="5">
    <tableColumn id="1" name="ECB" totalsRowLabel="Total"/>
    <tableColumn id="2" name="CBC"/>
    <tableColumn id="3" name="OFB"/>
    <tableColumn id="4" name="CFB"/>
    <tableColumn id="5" name="CTR" totalsRowFunction="max"/>
  </tableColumns>
  <tableStyleInfo name="TableStyleMedium9" showFirstColumn="0" showLastColumn="0" showRowStripes="1" showColumnStripes="0"/>
</table>
</file>

<file path=xl/tables/table40.xml><?xml version="1.0" encoding="utf-8"?>
<table xmlns="http://schemas.openxmlformats.org/spreadsheetml/2006/main" id="48" name="Encrypt24x256" displayName="Encrypt24x256" ref="I2:M12" totalsRowShown="0">
  <autoFilter ref="I2:M12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41.xml><?xml version="1.0" encoding="utf-8"?>
<table xmlns="http://schemas.openxmlformats.org/spreadsheetml/2006/main" id="49" name="Encrypt32x256" displayName="Encrypt32x256" ref="P2:T12" totalsRowShown="0">
  <autoFilter ref="P2:T12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42.xml><?xml version="1.0" encoding="utf-8"?>
<table xmlns="http://schemas.openxmlformats.org/spreadsheetml/2006/main" id="50" name="Decrypt16x256" displayName="Decrypt16x256" ref="W2:AA12" totalsRowShown="0">
  <autoFilter ref="W2:AA12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43.xml><?xml version="1.0" encoding="utf-8"?>
<table xmlns="http://schemas.openxmlformats.org/spreadsheetml/2006/main" id="51" name="Decrypt24x256" displayName="Decrypt24x256" ref="AD2:AH12" totalsRowShown="0">
  <autoFilter ref="AD2:AH12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44.xml><?xml version="1.0" encoding="utf-8"?>
<table xmlns="http://schemas.openxmlformats.org/spreadsheetml/2006/main" id="52" name="Decrypt32x256" displayName="Decrypt32x256" ref="AK2:AO12" totalsRowShown="0">
  <autoFilter ref="AK2:AO12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45.xml><?xml version="1.0" encoding="utf-8"?>
<table xmlns="http://schemas.openxmlformats.org/spreadsheetml/2006/main" id="55" name="SumEnc16x256" displayName="SumEnc16x256" ref="B105:F109" totalsRowShown="0" headerRowDxfId="206" headerRowBorderDxfId="205">
  <autoFilter ref="B105:F109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46.xml><?xml version="1.0" encoding="utf-8"?>
<table xmlns="http://schemas.openxmlformats.org/spreadsheetml/2006/main" id="56" name="SumEnc24x256" displayName="SumEnc24x256" ref="I105:M109" totalsRowShown="0" headerRowDxfId="204" headerRowBorderDxfId="203">
  <autoFilter ref="I105:M109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47.xml><?xml version="1.0" encoding="utf-8"?>
<table xmlns="http://schemas.openxmlformats.org/spreadsheetml/2006/main" id="57" name="SumEnc32x256" displayName="SumEnc32x256" ref="P105:T109" totalsRowShown="0" headerRowDxfId="202" headerRowBorderDxfId="201">
  <autoFilter ref="P105:T109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48.xml><?xml version="1.0" encoding="utf-8"?>
<table xmlns="http://schemas.openxmlformats.org/spreadsheetml/2006/main" id="58" name="SumDec16x256" displayName="SumDec16x256" ref="W105:AA109" totalsRowShown="0" headerRowDxfId="200" headerRowBorderDxfId="199">
  <autoFilter ref="W105:AA109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49.xml><?xml version="1.0" encoding="utf-8"?>
<table xmlns="http://schemas.openxmlformats.org/spreadsheetml/2006/main" id="59" name="SumDec24x256" displayName="SumDec24x256" ref="AD105:AH109" totalsRowShown="0" headerRowDxfId="198" headerRowBorderDxfId="197">
  <autoFilter ref="AD105:AH109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50.xml><?xml version="1.0" encoding="utf-8"?>
<table xmlns="http://schemas.openxmlformats.org/spreadsheetml/2006/main" id="60" name="SumDec32x256" displayName="SumDec32x256" ref="AK105:AO109" totalsRowShown="0" headerRowDxfId="196" headerRowBorderDxfId="195">
  <autoFilter ref="AK105:AO109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51.xml><?xml version="1.0" encoding="utf-8"?>
<table xmlns="http://schemas.openxmlformats.org/spreadsheetml/2006/main" id="63" name="EncFileSummary" displayName="EncFileSummary" ref="A2:N7" totalsRowShown="0">
  <autoFilter ref="A2:N7"/>
  <tableColumns count="14">
    <tableColumn id="1" name="Mode"/>
    <tableColumn id="2" name="File"/>
    <tableColumn id="3" name="16x16B"/>
    <tableColumn id="4" name="24x16B"/>
    <tableColumn id="5" name="32x16B"/>
    <tableColumn id="6" name="16x32B"/>
    <tableColumn id="7" name="24x32B"/>
    <tableColumn id="8" name="32x32B"/>
    <tableColumn id="9" name="16x10"/>
    <tableColumn id="10" name="24x10"/>
    <tableColumn id="11" name="32x10"/>
    <tableColumn id="12" name="16x256"/>
    <tableColumn id="13" name="24x256"/>
    <tableColumn id="14" name="32x256"/>
  </tableColumns>
  <tableStyleInfo name="TableStyleMedium9" showFirstColumn="0" showLastColumn="0" showRowStripes="1" showColumnStripes="0"/>
</table>
</file>

<file path=xl/tables/table52.xml><?xml version="1.0" encoding="utf-8"?>
<table xmlns="http://schemas.openxmlformats.org/spreadsheetml/2006/main" id="64" name="DecFileSummary" displayName="DecFileSummary" ref="A13:N18" totalsRowShown="0">
  <autoFilter ref="A13:N18"/>
  <tableColumns count="14">
    <tableColumn id="1" name="ode"/>
    <tableColumn id="2" name="File"/>
    <tableColumn id="3" name="16x16"/>
    <tableColumn id="4" name="24x16"/>
    <tableColumn id="5" name="32x16"/>
    <tableColumn id="6" name="16x32"/>
    <tableColumn id="7" name="24x32"/>
    <tableColumn id="8" name="32x32"/>
    <tableColumn id="9" name="16x10"/>
    <tableColumn id="10" name="24x10"/>
    <tableColumn id="11" name="32x10"/>
    <tableColumn id="12" name="16x256"/>
    <tableColumn id="13" name="24x256"/>
    <tableColumn id="14" name="32x256"/>
  </tableColumns>
  <tableStyleInfo name="TableStyleMedium9" showFirstColumn="0" showLastColumn="0" showRowStripes="1" showColumnStripes="0"/>
</table>
</file>

<file path=xl/tables/table53.xml><?xml version="1.0" encoding="utf-8"?>
<table xmlns="http://schemas.openxmlformats.org/spreadsheetml/2006/main" id="1" name="Decrypt32x162" displayName="Decrypt32x162" ref="AK2:AO102" totalsRowShown="0">
  <autoFilter ref="AK2:AO102"/>
  <tableColumns count="5">
    <tableColumn id="1" name="ECB" totalsRowDxfId="193"/>
    <tableColumn id="2" name="CBC" totalsRowDxfId="192"/>
    <tableColumn id="3" name="OFB" totalsRowDxfId="191"/>
    <tableColumn id="4" name="CFB" totalsRowDxfId="190"/>
    <tableColumn id="5" name="CTR" totalsRowDxfId="189"/>
  </tableColumns>
  <tableStyleInfo name="TableStyleMedium9" showFirstColumn="0" showLastColumn="0" showRowStripes="1" showColumnStripes="0"/>
</table>
</file>

<file path=xl/tables/table54.xml><?xml version="1.0" encoding="utf-8"?>
<table xmlns="http://schemas.openxmlformats.org/spreadsheetml/2006/main" id="2" name="Decrypt24x163" displayName="Decrypt24x163" ref="AD2:AH102">
  <autoFilter ref="AD2:AH102"/>
  <tableColumns count="5">
    <tableColumn id="1" name="ECB" totalsRowDxfId="188"/>
    <tableColumn id="2" name="CBC" totalsRowDxfId="187"/>
    <tableColumn id="3" name="OFB" totalsRowDxfId="186"/>
    <tableColumn id="4" name="CFB" totalsRowDxfId="185"/>
    <tableColumn id="5" name="CTR" totalsRowDxfId="184"/>
  </tableColumns>
  <tableStyleInfo name="TableStyleMedium9" showFirstColumn="0" showLastColumn="0" showRowStripes="1" showColumnStripes="0"/>
</table>
</file>

<file path=xl/tables/table55.xml><?xml version="1.0" encoding="utf-8"?>
<table xmlns="http://schemas.openxmlformats.org/spreadsheetml/2006/main" id="3" name="Decrypt16x164" displayName="Decrypt16x164" ref="W2:AA102">
  <autoFilter ref="W2:AA102"/>
  <tableColumns count="5">
    <tableColumn id="1" name="ECB" totalsRowDxfId="183"/>
    <tableColumn id="2" name="CBC" totalsRowDxfId="182"/>
    <tableColumn id="3" name="OFB" totalsRowDxfId="181"/>
    <tableColumn id="4" name="CFB" totalsRowDxfId="180"/>
    <tableColumn id="5" name="CTR" totalsRowDxfId="179"/>
  </tableColumns>
  <tableStyleInfo name="TableStyleMedium9" showFirstColumn="0" showLastColumn="0" showRowStripes="1" showColumnStripes="0"/>
</table>
</file>

<file path=xl/tables/table56.xml><?xml version="1.0" encoding="utf-8"?>
<table xmlns="http://schemas.openxmlformats.org/spreadsheetml/2006/main" id="4" name="Encrypt32x165" displayName="Encrypt32x165" ref="P2:T102">
  <autoFilter ref="P2:T102"/>
  <tableColumns count="5">
    <tableColumn id="1" name="ECB" totalsRowDxfId="178"/>
    <tableColumn id="2" name="CBC" dataDxfId="176" totalsRowDxfId="177"/>
    <tableColumn id="3" name="OFB" dataDxfId="174" totalsRowDxfId="175"/>
    <tableColumn id="4" name="CFB" dataDxfId="172" totalsRowDxfId="173"/>
    <tableColumn id="5" name="CTR" dataDxfId="170" totalsRowDxfId="171"/>
  </tableColumns>
  <tableStyleInfo name="TableStyleMedium9" showFirstColumn="0" showLastColumn="0" showRowStripes="1" showColumnStripes="0"/>
</table>
</file>

<file path=xl/tables/table57.xml><?xml version="1.0" encoding="utf-8"?>
<table xmlns="http://schemas.openxmlformats.org/spreadsheetml/2006/main" id="5" name="Encrypt24x166" displayName="Encrypt24x166" ref="I2:M102">
  <autoFilter ref="I2:M102"/>
  <tableColumns count="5">
    <tableColumn id="1" name="ECB" totalsRowDxfId="169"/>
    <tableColumn id="2" name="CBC" dataDxfId="167" totalsRowDxfId="168"/>
    <tableColumn id="3" name="OFB" dataDxfId="165" totalsRowDxfId="166"/>
    <tableColumn id="4" name="CFB" dataDxfId="163" totalsRowDxfId="164"/>
    <tableColumn id="5" name="CTR" dataDxfId="161" totalsRowDxfId="162"/>
  </tableColumns>
  <tableStyleInfo name="TableStyleMedium9" showFirstColumn="0" showLastColumn="0" showRowStripes="1" showColumnStripes="0"/>
</table>
</file>

<file path=xl/tables/table58.xml><?xml version="1.0" encoding="utf-8"?>
<table xmlns="http://schemas.openxmlformats.org/spreadsheetml/2006/main" id="6" name="Encrypt16x167" displayName="Encrypt16x167" ref="B2:F102">
  <autoFilter ref="B2:F102"/>
  <tableColumns count="5">
    <tableColumn id="1" name="ECB" totalsRowDxfId="160"/>
    <tableColumn id="2" name="CBC" dataDxfId="158" totalsRowDxfId="159"/>
    <tableColumn id="3" name="OFB" dataDxfId="156" totalsRowDxfId="157"/>
    <tableColumn id="4" name="CFB" dataDxfId="154" totalsRowDxfId="155"/>
    <tableColumn id="5" name="CTR" dataDxfId="152" totalsRowDxfId="153"/>
  </tableColumns>
  <tableStyleInfo name="TableStyleMedium9" showFirstColumn="0" showLastColumn="0" showRowStripes="1" showColumnStripes="0"/>
</table>
</file>

<file path=xl/tables/table59.xml><?xml version="1.0" encoding="utf-8"?>
<table xmlns="http://schemas.openxmlformats.org/spreadsheetml/2006/main" id="20" name="SumEnc16x1621" displayName="SumEnc16x1621" ref="A105:F109" totalsRowShown="0" headerRowDxfId="151">
  <autoFilter ref="A105:F109"/>
  <tableColumns count="6">
    <tableColumn id="1" name="Metric"/>
    <tableColumn id="2" name="ECB"/>
    <tableColumn id="3" name="CBC"/>
    <tableColumn id="4" name="OFB"/>
    <tableColumn id="5" name="CFB"/>
    <tableColumn id="6" name="CTR"/>
  </tableColumns>
  <tableStyleInfo name="TableStyleMedium9" showFirstColumn="0" showLastColumn="0" showRowStripes="1" showColumnStripes="0"/>
</table>
</file>

<file path=xl/tables/table60.xml><?xml version="1.0" encoding="utf-8"?>
<table xmlns="http://schemas.openxmlformats.org/spreadsheetml/2006/main" id="22" name="SumEnc24x1623" displayName="SumEnc24x1623" ref="H105:M109" totalsRowShown="0" headerRowDxfId="150" headerRowBorderDxfId="149" totalsRowBorderDxfId="148">
  <autoFilter ref="H105:M109"/>
  <tableColumns count="6">
    <tableColumn id="1" name="Metric"/>
    <tableColumn id="2" name="ECB"/>
    <tableColumn id="3" name="CBC"/>
    <tableColumn id="4" name="OFB"/>
    <tableColumn id="5" name="CFB"/>
    <tableColumn id="6" name="CTR"/>
  </tableColumns>
  <tableStyleInfo name="TableStyleMedium9" showFirstColumn="0" showLastColumn="0" showRowStripes="1" showColumnStripes="0"/>
</table>
</file>

<file path=xl/tables/table61.xml><?xml version="1.0" encoding="utf-8"?>
<table xmlns="http://schemas.openxmlformats.org/spreadsheetml/2006/main" id="23" name="SumEnc32x1624" displayName="SumEnc32x1624" ref="O105:T109" totalsRowShown="0" headerRowDxfId="147" headerRowBorderDxfId="146" totalsRowBorderDxfId="145">
  <autoFilter ref="O105:T109"/>
  <tableColumns count="6">
    <tableColumn id="1" name="Metric"/>
    <tableColumn id="2" name="ECB"/>
    <tableColumn id="3" name="CBC"/>
    <tableColumn id="4" name="OFB"/>
    <tableColumn id="5" name="CFB"/>
    <tableColumn id="6" name="CTR"/>
  </tableColumns>
  <tableStyleInfo name="TableStyleMedium9" showFirstColumn="0" showLastColumn="0" showRowStripes="1" showColumnStripes="0"/>
</table>
</file>

<file path=xl/tables/table62.xml><?xml version="1.0" encoding="utf-8"?>
<table xmlns="http://schemas.openxmlformats.org/spreadsheetml/2006/main" id="34" name="SumDec16x1635" displayName="SumDec16x1635" ref="V105:AA109" totalsRowShown="0" headerRowDxfId="144" headerRowBorderDxfId="143" totalsRowBorderDxfId="142">
  <autoFilter ref="V105:AA109"/>
  <tableColumns count="6">
    <tableColumn id="1" name="Metric"/>
    <tableColumn id="2" name="ECB"/>
    <tableColumn id="3" name="CBC"/>
    <tableColumn id="4" name="OFB"/>
    <tableColumn id="5" name="CFB"/>
    <tableColumn id="6" name="CTR"/>
  </tableColumns>
  <tableStyleInfo name="TableStyleMedium9" showFirstColumn="0" showLastColumn="0" showRowStripes="1" showColumnStripes="0"/>
</table>
</file>

<file path=xl/tables/table63.xml><?xml version="1.0" encoding="utf-8"?>
<table xmlns="http://schemas.openxmlformats.org/spreadsheetml/2006/main" id="53" name="SumDec24x1654" displayName="SumDec24x1654" ref="AC105:AH109" totalsRowShown="0" headerRowDxfId="141" headerRowBorderDxfId="140" totalsRowBorderDxfId="139">
  <autoFilter ref="AC105:AH109"/>
  <tableColumns count="6">
    <tableColumn id="1" name="Metric"/>
    <tableColumn id="2" name="ECB"/>
    <tableColumn id="3" name="CBC"/>
    <tableColumn id="4" name="OFB"/>
    <tableColumn id="5" name="CFB"/>
    <tableColumn id="6" name="CTR"/>
  </tableColumns>
  <tableStyleInfo name="TableStyleMedium9" showFirstColumn="0" showLastColumn="0" showRowStripes="1" showColumnStripes="0"/>
</table>
</file>

<file path=xl/tables/table64.xml><?xml version="1.0" encoding="utf-8"?>
<table xmlns="http://schemas.openxmlformats.org/spreadsheetml/2006/main" id="54" name="SumDec32x1655" displayName="SumDec32x1655" ref="AJ105:AO109" totalsRowShown="0" headerRowDxfId="138" headerRowBorderDxfId="137" totalsRowBorderDxfId="136">
  <autoFilter ref="AJ105:AO109"/>
  <tableColumns count="6">
    <tableColumn id="1" name="Metric"/>
    <tableColumn id="2" name="ECB"/>
    <tableColumn id="3" name="CBC"/>
    <tableColumn id="4" name="OFB"/>
    <tableColumn id="5" name="CFB"/>
    <tableColumn id="6" name="CTR"/>
  </tableColumns>
  <tableStyleInfo name="TableStyleMedium9" showFirstColumn="0" showLastColumn="0" showRowStripes="1" showColumnStripes="0"/>
</table>
</file>

<file path=xl/tables/table65.xml><?xml version="1.0" encoding="utf-8"?>
<table xmlns="http://schemas.openxmlformats.org/spreadsheetml/2006/main" id="65" name="Encrypt16x3266" displayName="Encrypt16x3266" ref="B2:F102">
  <autoFilter ref="B2:F102"/>
  <tableColumns count="5">
    <tableColumn id="1" name="ECB" totalsRowDxfId="135"/>
    <tableColumn id="2" name="CBC" dataDxfId="133" totalsRowDxfId="134"/>
    <tableColumn id="3" name="OFB" dataDxfId="131" totalsRowDxfId="132"/>
    <tableColumn id="4" name="CFB" dataDxfId="129" totalsRowDxfId="130"/>
    <tableColumn id="5" name="CTR" dataDxfId="127" totalsRowDxfId="128"/>
  </tableColumns>
  <tableStyleInfo name="TableStyleMedium9" showFirstColumn="0" showLastColumn="0" showRowStripes="1" showColumnStripes="0"/>
</table>
</file>

<file path=xl/tables/table66.xml><?xml version="1.0" encoding="utf-8"?>
<table xmlns="http://schemas.openxmlformats.org/spreadsheetml/2006/main" id="66" name="Encrypt24x3267" displayName="Encrypt24x3267" ref="I2:M102">
  <autoFilter ref="I2:M102"/>
  <tableColumns count="5">
    <tableColumn id="1" name="ECB" totalsRowDxfId="126"/>
    <tableColumn id="2" name="CBC" dataDxfId="124" totalsRowDxfId="125"/>
    <tableColumn id="3" name="OFB" dataDxfId="122" totalsRowDxfId="123"/>
    <tableColumn id="4" name="CFB" dataDxfId="120" totalsRowDxfId="121"/>
    <tableColumn id="5" name="CTR" dataDxfId="118" totalsRowDxfId="119"/>
  </tableColumns>
  <tableStyleInfo name="TableStyleMedium9" showFirstColumn="0" showLastColumn="0" showRowStripes="1" showColumnStripes="0"/>
</table>
</file>

<file path=xl/tables/table67.xml><?xml version="1.0" encoding="utf-8"?>
<table xmlns="http://schemas.openxmlformats.org/spreadsheetml/2006/main" id="67" name="Encrypt32x3268" displayName="Encrypt32x3268" ref="P2:T102">
  <autoFilter ref="P2:T102"/>
  <tableColumns count="5">
    <tableColumn id="1" name="ECB" totalsRowDxfId="117"/>
    <tableColumn id="2" name="CBC" dataDxfId="115" totalsRowDxfId="116"/>
    <tableColumn id="3" name="OFB" dataDxfId="113" totalsRowDxfId="114"/>
    <tableColumn id="4" name="CFB" dataDxfId="111" totalsRowDxfId="112"/>
    <tableColumn id="5" name="CTR" dataDxfId="109" totalsRowDxfId="110"/>
  </tableColumns>
  <tableStyleInfo name="TableStyleMedium9" showFirstColumn="0" showLastColumn="0" showRowStripes="1" showColumnStripes="0"/>
</table>
</file>

<file path=xl/tables/table68.xml><?xml version="1.0" encoding="utf-8"?>
<table xmlns="http://schemas.openxmlformats.org/spreadsheetml/2006/main" id="68" name="Decrypt16x3269" displayName="Decrypt16x3269" ref="W2:AA102" totalsRowShown="0">
  <autoFilter ref="W2:AA102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69.xml><?xml version="1.0" encoding="utf-8"?>
<table xmlns="http://schemas.openxmlformats.org/spreadsheetml/2006/main" id="69" name="Decrypt24x3270" displayName="Decrypt24x3270" ref="AD2:AH102" totalsRowShown="0">
  <autoFilter ref="AD2:AH102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70.xml><?xml version="1.0" encoding="utf-8"?>
<table xmlns="http://schemas.openxmlformats.org/spreadsheetml/2006/main" id="70" name="Decrypt32x3271" displayName="Decrypt32x3271" ref="AK2:AO102" totalsRowShown="0">
  <autoFilter ref="AK2:AO102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71.xml><?xml version="1.0" encoding="utf-8"?>
<table xmlns="http://schemas.openxmlformats.org/spreadsheetml/2006/main" id="71" name="SumEnc16X3272" displayName="SumEnc16X3272" ref="A105:F109" totalsRowShown="0" headerRowDxfId="103" dataDxfId="102" headerRowBorderDxfId="101" totalsRowBorderDxfId="100">
  <autoFilter ref="A105:F109"/>
  <tableColumns count="6">
    <tableColumn id="1" name="Metric"/>
    <tableColumn id="2" name="ECB" dataDxfId="108"/>
    <tableColumn id="3" name="CBC" dataDxfId="107"/>
    <tableColumn id="4" name="OFB" dataDxfId="106"/>
    <tableColumn id="5" name="CFB" dataDxfId="105"/>
    <tableColumn id="6" name="CTR" dataDxfId="104"/>
  </tableColumns>
  <tableStyleInfo name="TableStyleMedium9" showFirstColumn="0" showLastColumn="0" showRowStripes="1" showColumnStripes="0"/>
</table>
</file>

<file path=xl/tables/table72.xml><?xml version="1.0" encoding="utf-8"?>
<table xmlns="http://schemas.openxmlformats.org/spreadsheetml/2006/main" id="72" name="SumEnc24x3273" displayName="SumEnc24x3273" ref="H105:M109" totalsRowShown="0" headerRowDxfId="94" dataDxfId="93" headerRowBorderDxfId="92">
  <autoFilter ref="H105:M109"/>
  <tableColumns count="6">
    <tableColumn id="1" name="Metric"/>
    <tableColumn id="2" name="ECB" dataDxfId="99"/>
    <tableColumn id="3" name="CBC" dataDxfId="98"/>
    <tableColumn id="4" name="OFB" dataDxfId="97"/>
    <tableColumn id="5" name="CFB" dataDxfId="96"/>
    <tableColumn id="6" name="CTR" dataDxfId="95"/>
  </tableColumns>
  <tableStyleInfo name="TableStyleMedium9" showFirstColumn="0" showLastColumn="0" showRowStripes="1" showColumnStripes="0"/>
</table>
</file>

<file path=xl/tables/table73.xml><?xml version="1.0" encoding="utf-8"?>
<table xmlns="http://schemas.openxmlformats.org/spreadsheetml/2006/main" id="73" name="SumEnc32x3274" displayName="SumEnc32x3274" ref="O105:T109" totalsRowShown="0" headerRowDxfId="86" dataDxfId="85" headerRowBorderDxfId="84">
  <autoFilter ref="O105:T109"/>
  <tableColumns count="6">
    <tableColumn id="1" name="Metric"/>
    <tableColumn id="2" name="ECB" dataDxfId="91"/>
    <tableColumn id="3" name="CBC" dataDxfId="90"/>
    <tableColumn id="4" name="OFB" dataDxfId="89"/>
    <tableColumn id="5" name="CFB" dataDxfId="88"/>
    <tableColumn id="6" name="CTR" dataDxfId="87"/>
  </tableColumns>
  <tableStyleInfo name="TableStyleMedium9" showFirstColumn="0" showLastColumn="0" showRowStripes="1" showColumnStripes="0"/>
</table>
</file>

<file path=xl/tables/table74.xml><?xml version="1.0" encoding="utf-8"?>
<table xmlns="http://schemas.openxmlformats.org/spreadsheetml/2006/main" id="74" name="SumDec16x3275" displayName="SumDec16x3275" ref="V105:AA109" totalsRowShown="0" headerRowDxfId="78" dataDxfId="77" headerRowBorderDxfId="76" totalsRowBorderDxfId="75">
  <autoFilter ref="V105:AA109"/>
  <tableColumns count="6">
    <tableColumn id="1" name="Metric"/>
    <tableColumn id="2" name="ECB" dataDxfId="83"/>
    <tableColumn id="3" name="CBC" dataDxfId="82"/>
    <tableColumn id="4" name="OFB" dataDxfId="81"/>
    <tableColumn id="5" name="CFB" dataDxfId="80"/>
    <tableColumn id="6" name="CTR" dataDxfId="79"/>
  </tableColumns>
  <tableStyleInfo name="TableStyleMedium9" showFirstColumn="0" showLastColumn="0" showRowStripes="1" showColumnStripes="0"/>
</table>
</file>

<file path=xl/tables/table75.xml><?xml version="1.0" encoding="utf-8"?>
<table xmlns="http://schemas.openxmlformats.org/spreadsheetml/2006/main" id="75" name="SumDec24x3276" displayName="SumDec24x3276" ref="AC105:AH109" totalsRowShown="0" headerRowDxfId="69" dataDxfId="68" headerRowBorderDxfId="67">
  <autoFilter ref="AC105:AH109"/>
  <tableColumns count="6">
    <tableColumn id="1" name="Metric"/>
    <tableColumn id="2" name="ECB" dataDxfId="74"/>
    <tableColumn id="3" name="CBC" dataDxfId="73"/>
    <tableColumn id="4" name="OFB" dataDxfId="72"/>
    <tableColumn id="5" name="CFB" dataDxfId="71"/>
    <tableColumn id="6" name="CTR" dataDxfId="70"/>
  </tableColumns>
  <tableStyleInfo name="TableStyleMedium9" showFirstColumn="0" showLastColumn="0" showRowStripes="1" showColumnStripes="0"/>
</table>
</file>

<file path=xl/tables/table76.xml><?xml version="1.0" encoding="utf-8"?>
<table xmlns="http://schemas.openxmlformats.org/spreadsheetml/2006/main" id="76" name="SumDec32x3277" displayName="SumDec32x3277" ref="AJ105:AO109" totalsRowShown="0" headerRowDxfId="61" dataDxfId="60" headerRowBorderDxfId="59">
  <autoFilter ref="AJ105:AO109"/>
  <tableColumns count="6">
    <tableColumn id="1" name="Metric"/>
    <tableColumn id="2" name="ECB" dataDxfId="66"/>
    <tableColumn id="3" name="CBC" dataDxfId="65"/>
    <tableColumn id="4" name="OFB" dataDxfId="64"/>
    <tableColumn id="5" name="CFB" dataDxfId="63"/>
    <tableColumn id="6" name="CTR" dataDxfId="6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Relationship Id="rId2" Type="http://schemas.openxmlformats.org/officeDocument/2006/relationships/table" Target="../tables/table2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pivotTable" Target="../pivotTables/pivotTable2.xml"/><Relationship Id="rId3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pivotTable" Target="../pivotTables/pivotTable4.xml"/><Relationship Id="rId3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Relationship Id="rId2" Type="http://schemas.openxmlformats.org/officeDocument/2006/relationships/pivotTable" Target="../pivotTables/pivotTable6.xml"/><Relationship Id="rId3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13.xml"/><Relationship Id="rId12" Type="http://schemas.openxmlformats.org/officeDocument/2006/relationships/table" Target="../tables/table14.xml"/><Relationship Id="rId1" Type="http://schemas.openxmlformats.org/officeDocument/2006/relationships/table" Target="../tables/table3.xml"/><Relationship Id="rId2" Type="http://schemas.openxmlformats.org/officeDocument/2006/relationships/table" Target="../tables/table4.xml"/><Relationship Id="rId3" Type="http://schemas.openxmlformats.org/officeDocument/2006/relationships/table" Target="../tables/table5.xml"/><Relationship Id="rId4" Type="http://schemas.openxmlformats.org/officeDocument/2006/relationships/table" Target="../tables/table6.xml"/><Relationship Id="rId5" Type="http://schemas.openxmlformats.org/officeDocument/2006/relationships/table" Target="../tables/table7.xml"/><Relationship Id="rId6" Type="http://schemas.openxmlformats.org/officeDocument/2006/relationships/table" Target="../tables/table8.xml"/><Relationship Id="rId7" Type="http://schemas.openxmlformats.org/officeDocument/2006/relationships/table" Target="../tables/table9.xml"/><Relationship Id="rId8" Type="http://schemas.openxmlformats.org/officeDocument/2006/relationships/table" Target="../tables/table10.xml"/><Relationship Id="rId9" Type="http://schemas.openxmlformats.org/officeDocument/2006/relationships/table" Target="../tables/table11.xml"/><Relationship Id="rId10" Type="http://schemas.openxmlformats.org/officeDocument/2006/relationships/table" Target="../tables/table12.xml"/></Relationships>
</file>

<file path=xl/worksheets/_rels/sheet6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25.xml"/><Relationship Id="rId12" Type="http://schemas.openxmlformats.org/officeDocument/2006/relationships/table" Target="../tables/table26.xml"/><Relationship Id="rId1" Type="http://schemas.openxmlformats.org/officeDocument/2006/relationships/table" Target="../tables/table15.xml"/><Relationship Id="rId2" Type="http://schemas.openxmlformats.org/officeDocument/2006/relationships/table" Target="../tables/table16.xml"/><Relationship Id="rId3" Type="http://schemas.openxmlformats.org/officeDocument/2006/relationships/table" Target="../tables/table17.xml"/><Relationship Id="rId4" Type="http://schemas.openxmlformats.org/officeDocument/2006/relationships/table" Target="../tables/table18.xml"/><Relationship Id="rId5" Type="http://schemas.openxmlformats.org/officeDocument/2006/relationships/table" Target="../tables/table19.xml"/><Relationship Id="rId6" Type="http://schemas.openxmlformats.org/officeDocument/2006/relationships/table" Target="../tables/table20.xml"/><Relationship Id="rId7" Type="http://schemas.openxmlformats.org/officeDocument/2006/relationships/table" Target="../tables/table21.xml"/><Relationship Id="rId8" Type="http://schemas.openxmlformats.org/officeDocument/2006/relationships/table" Target="../tables/table22.xml"/><Relationship Id="rId9" Type="http://schemas.openxmlformats.org/officeDocument/2006/relationships/table" Target="../tables/table23.xml"/><Relationship Id="rId10" Type="http://schemas.openxmlformats.org/officeDocument/2006/relationships/table" Target="../tables/table24.xml"/></Relationships>
</file>

<file path=xl/worksheets/_rels/sheet7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37.xml"/><Relationship Id="rId12" Type="http://schemas.openxmlformats.org/officeDocument/2006/relationships/table" Target="../tables/table38.xml"/><Relationship Id="rId1" Type="http://schemas.openxmlformats.org/officeDocument/2006/relationships/table" Target="../tables/table27.xml"/><Relationship Id="rId2" Type="http://schemas.openxmlformats.org/officeDocument/2006/relationships/table" Target="../tables/table28.xml"/><Relationship Id="rId3" Type="http://schemas.openxmlformats.org/officeDocument/2006/relationships/table" Target="../tables/table29.xml"/><Relationship Id="rId4" Type="http://schemas.openxmlformats.org/officeDocument/2006/relationships/table" Target="../tables/table30.xml"/><Relationship Id="rId5" Type="http://schemas.openxmlformats.org/officeDocument/2006/relationships/table" Target="../tables/table31.xml"/><Relationship Id="rId6" Type="http://schemas.openxmlformats.org/officeDocument/2006/relationships/table" Target="../tables/table32.xml"/><Relationship Id="rId7" Type="http://schemas.openxmlformats.org/officeDocument/2006/relationships/table" Target="../tables/table33.xml"/><Relationship Id="rId8" Type="http://schemas.openxmlformats.org/officeDocument/2006/relationships/table" Target="../tables/table34.xml"/><Relationship Id="rId9" Type="http://schemas.openxmlformats.org/officeDocument/2006/relationships/table" Target="../tables/table35.xml"/><Relationship Id="rId10" Type="http://schemas.openxmlformats.org/officeDocument/2006/relationships/table" Target="../tables/table36.xml"/></Relationships>
</file>

<file path=xl/worksheets/_rels/sheet8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49.xml"/><Relationship Id="rId12" Type="http://schemas.openxmlformats.org/officeDocument/2006/relationships/table" Target="../tables/table50.xml"/><Relationship Id="rId1" Type="http://schemas.openxmlformats.org/officeDocument/2006/relationships/table" Target="../tables/table39.xml"/><Relationship Id="rId2" Type="http://schemas.openxmlformats.org/officeDocument/2006/relationships/table" Target="../tables/table40.xml"/><Relationship Id="rId3" Type="http://schemas.openxmlformats.org/officeDocument/2006/relationships/table" Target="../tables/table41.xml"/><Relationship Id="rId4" Type="http://schemas.openxmlformats.org/officeDocument/2006/relationships/table" Target="../tables/table42.xml"/><Relationship Id="rId5" Type="http://schemas.openxmlformats.org/officeDocument/2006/relationships/table" Target="../tables/table43.xml"/><Relationship Id="rId6" Type="http://schemas.openxmlformats.org/officeDocument/2006/relationships/table" Target="../tables/table44.xml"/><Relationship Id="rId7" Type="http://schemas.openxmlformats.org/officeDocument/2006/relationships/table" Target="../tables/table45.xml"/><Relationship Id="rId8" Type="http://schemas.openxmlformats.org/officeDocument/2006/relationships/table" Target="../tables/table46.xml"/><Relationship Id="rId9" Type="http://schemas.openxmlformats.org/officeDocument/2006/relationships/table" Target="../tables/table47.xml"/><Relationship Id="rId10" Type="http://schemas.openxmlformats.org/officeDocument/2006/relationships/table" Target="../tables/table4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1.xml"/><Relationship Id="rId2" Type="http://schemas.openxmlformats.org/officeDocument/2006/relationships/table" Target="../tables/table52.xml"/></Relationships>
</file>

<file path=xl/worksheets/_rels/sheet12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63.xml"/><Relationship Id="rId12" Type="http://schemas.openxmlformats.org/officeDocument/2006/relationships/table" Target="../tables/table64.xml"/><Relationship Id="rId1" Type="http://schemas.openxmlformats.org/officeDocument/2006/relationships/table" Target="../tables/table53.xml"/><Relationship Id="rId2" Type="http://schemas.openxmlformats.org/officeDocument/2006/relationships/table" Target="../tables/table54.xml"/><Relationship Id="rId3" Type="http://schemas.openxmlformats.org/officeDocument/2006/relationships/table" Target="../tables/table55.xml"/><Relationship Id="rId4" Type="http://schemas.openxmlformats.org/officeDocument/2006/relationships/table" Target="../tables/table56.xml"/><Relationship Id="rId5" Type="http://schemas.openxmlformats.org/officeDocument/2006/relationships/table" Target="../tables/table57.xml"/><Relationship Id="rId6" Type="http://schemas.openxmlformats.org/officeDocument/2006/relationships/table" Target="../tables/table58.xml"/><Relationship Id="rId7" Type="http://schemas.openxmlformats.org/officeDocument/2006/relationships/table" Target="../tables/table59.xml"/><Relationship Id="rId8" Type="http://schemas.openxmlformats.org/officeDocument/2006/relationships/table" Target="../tables/table60.xml"/><Relationship Id="rId9" Type="http://schemas.openxmlformats.org/officeDocument/2006/relationships/table" Target="../tables/table61.xml"/><Relationship Id="rId10" Type="http://schemas.openxmlformats.org/officeDocument/2006/relationships/table" Target="../tables/table62.xml"/></Relationships>
</file>

<file path=xl/worksheets/_rels/sheet13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75.xml"/><Relationship Id="rId12" Type="http://schemas.openxmlformats.org/officeDocument/2006/relationships/table" Target="../tables/table76.xml"/><Relationship Id="rId1" Type="http://schemas.openxmlformats.org/officeDocument/2006/relationships/table" Target="../tables/table65.xml"/><Relationship Id="rId2" Type="http://schemas.openxmlformats.org/officeDocument/2006/relationships/table" Target="../tables/table66.xml"/><Relationship Id="rId3" Type="http://schemas.openxmlformats.org/officeDocument/2006/relationships/table" Target="../tables/table67.xml"/><Relationship Id="rId4" Type="http://schemas.openxmlformats.org/officeDocument/2006/relationships/table" Target="../tables/table68.xml"/><Relationship Id="rId5" Type="http://schemas.openxmlformats.org/officeDocument/2006/relationships/table" Target="../tables/table69.xml"/><Relationship Id="rId6" Type="http://schemas.openxmlformats.org/officeDocument/2006/relationships/table" Target="../tables/table70.xml"/><Relationship Id="rId7" Type="http://schemas.openxmlformats.org/officeDocument/2006/relationships/table" Target="../tables/table71.xml"/><Relationship Id="rId8" Type="http://schemas.openxmlformats.org/officeDocument/2006/relationships/table" Target="../tables/table72.xml"/><Relationship Id="rId9" Type="http://schemas.openxmlformats.org/officeDocument/2006/relationships/table" Target="../tables/table73.xml"/><Relationship Id="rId10" Type="http://schemas.openxmlformats.org/officeDocument/2006/relationships/table" Target="../tables/table7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48576"/>
  <sheetViews>
    <sheetView topLeftCell="B1" workbookViewId="0">
      <selection activeCell="S7" sqref="S7"/>
    </sheetView>
  </sheetViews>
  <sheetFormatPr baseColWidth="10" defaultRowHeight="15" zeroHeight="1" x14ac:dyDescent="0.75"/>
  <cols>
    <col min="2" max="3" width="13.1640625" customWidth="1"/>
    <col min="4" max="4" width="15" bestFit="1" customWidth="1"/>
    <col min="5" max="5" width="20" bestFit="1" customWidth="1"/>
    <col min="6" max="6" width="14.83203125" bestFit="1" customWidth="1"/>
    <col min="7" max="8" width="11.83203125" bestFit="1" customWidth="1"/>
    <col min="9" max="10" width="15" bestFit="1" customWidth="1"/>
    <col min="11" max="12" width="11.83203125" bestFit="1" customWidth="1"/>
    <col min="13" max="13" width="14.6640625" bestFit="1" customWidth="1"/>
    <col min="14" max="14" width="15.6640625" bestFit="1" customWidth="1"/>
    <col min="18" max="18" width="15" bestFit="1" customWidth="1"/>
    <col min="19" max="19" width="20" bestFit="1" customWidth="1"/>
    <col min="20" max="20" width="13.33203125" bestFit="1" customWidth="1"/>
    <col min="21" max="21" width="13.33203125" customWidth="1"/>
    <col min="22" max="22" width="13.83203125" bestFit="1" customWidth="1"/>
    <col min="23" max="23" width="20" bestFit="1" customWidth="1"/>
    <col min="24" max="24" width="15" bestFit="1" customWidth="1"/>
    <col min="25" max="25" width="11.83203125" bestFit="1" customWidth="1"/>
    <col min="26" max="26" width="12.83203125" bestFit="1" customWidth="1"/>
    <col min="27" max="27" width="14.6640625" bestFit="1" customWidth="1"/>
    <col min="28" max="28" width="14.33203125" bestFit="1" customWidth="1"/>
  </cols>
  <sheetData>
    <row r="1" spans="1:24">
      <c r="A1" s="59" t="s">
        <v>41</v>
      </c>
      <c r="B1" s="59"/>
      <c r="C1" s="59"/>
      <c r="D1" s="59"/>
      <c r="E1" s="59"/>
      <c r="F1" s="59"/>
      <c r="G1" s="59"/>
      <c r="H1" s="59"/>
      <c r="I1" s="59"/>
      <c r="J1" s="59"/>
      <c r="O1" s="60" t="s">
        <v>42</v>
      </c>
      <c r="P1" s="60"/>
      <c r="Q1" s="60"/>
      <c r="R1" s="60"/>
      <c r="S1" s="60"/>
      <c r="T1" s="60"/>
      <c r="U1" s="60"/>
      <c r="V1" s="60"/>
      <c r="W1" s="60"/>
      <c r="X1" s="60"/>
    </row>
    <row r="2" spans="1:24" ht="16" thickBot="1">
      <c r="A2" s="21" t="s">
        <v>7</v>
      </c>
      <c r="B2" s="45" t="s">
        <v>12</v>
      </c>
      <c r="C2" s="45" t="s">
        <v>83</v>
      </c>
      <c r="D2" s="45" t="s">
        <v>64</v>
      </c>
      <c r="E2" s="45" t="s">
        <v>86</v>
      </c>
      <c r="F2" s="45" t="s">
        <v>69</v>
      </c>
      <c r="G2" s="45" t="s">
        <v>70</v>
      </c>
      <c r="H2" s="45" t="s">
        <v>71</v>
      </c>
      <c r="I2" s="45" t="s">
        <v>72</v>
      </c>
      <c r="J2" s="45" t="s">
        <v>74</v>
      </c>
      <c r="O2" s="21" t="s">
        <v>7</v>
      </c>
      <c r="P2" s="45" t="s">
        <v>12</v>
      </c>
      <c r="Q2" s="45" t="s">
        <v>83</v>
      </c>
      <c r="R2" s="45" t="s">
        <v>64</v>
      </c>
      <c r="S2" s="45" t="s">
        <v>86</v>
      </c>
      <c r="T2" s="45" t="s">
        <v>69</v>
      </c>
      <c r="U2" s="45" t="s">
        <v>70</v>
      </c>
      <c r="V2" s="45" t="s">
        <v>71</v>
      </c>
      <c r="W2" s="45" t="s">
        <v>72</v>
      </c>
      <c r="X2" s="45" t="s">
        <v>73</v>
      </c>
    </row>
    <row r="3" spans="1:24" ht="17" thickTop="1" thickBot="1">
      <c r="A3" s="46" t="s">
        <v>0</v>
      </c>
      <c r="B3" s="47" t="s">
        <v>13</v>
      </c>
      <c r="C3" s="47" t="str">
        <f>CONCATENATE(SummaryEncryption[[#This Row],[Mode]],"_",SummaryEncryption[[#This Row],[Key size (B)]])</f>
        <v>ECB_16B</v>
      </c>
      <c r="D3" s="47">
        <v>1000</v>
      </c>
      <c r="E3" s="47">
        <f>SummaryEncryption[[#This Row],[Test Size (KB)]]/SummaryEncryption[[#This Row],[Average (ms)]]/1000</f>
        <v>8.4728422106831527E-3</v>
      </c>
      <c r="F3" s="52">
        <f>HLOOKUP($A3,SumEnc16x16[#All],AVG,FALSE)</f>
        <v>118.02414999999999</v>
      </c>
      <c r="G3" s="52">
        <f>HLOOKUP($A3,SumEnc16x16[#All],MIN,FALSE)</f>
        <v>114.68600000000001</v>
      </c>
      <c r="H3" s="52">
        <f>HLOOKUP($A3,SumEnc16x16[#All],MAX,FALSE)</f>
        <v>141.81200000000001</v>
      </c>
      <c r="I3" s="52">
        <f>HLOOKUP($A3,SumEnc16x16[#All],MED,FALSE)</f>
        <v>115.791</v>
      </c>
      <c r="J3" s="47">
        <f>VLOOKUP(SummaryEncryption[[#This Row],[Mode]],EncFileSummary[#All],3,FALSE)</f>
        <v>64</v>
      </c>
      <c r="O3" s="46" t="s">
        <v>0</v>
      </c>
      <c r="P3" s="47" t="s">
        <v>13</v>
      </c>
      <c r="Q3" s="47" t="str">
        <f>CONCATENATE(SummaryDecryption[[#This Row],[Mode]],"_",SummaryDecryption[[#This Row],[Key size (B)]])</f>
        <v>ECB_16B</v>
      </c>
      <c r="R3" s="47">
        <v>1000</v>
      </c>
      <c r="S3" s="47">
        <f>SummaryDecryption[[#This Row],[Test Size (KB)]]/SummaryDecryption[[#This Row],[Average (ms)]]/1000</f>
        <v>1.5579248129906003E-2</v>
      </c>
      <c r="T3" s="52">
        <f>HLOOKUP($A3,SumDec16x16[#All],AVG,FALSE)</f>
        <v>64.187950000000001</v>
      </c>
      <c r="U3" s="52">
        <f>HLOOKUP($A3,SumDec16x16[#All],MIN,FALSE)</f>
        <v>62.780999999999999</v>
      </c>
      <c r="V3" s="52">
        <f>HLOOKUP($A3,SumDec16x16[#All],MAX,FALSE)</f>
        <v>82.816000000000003</v>
      </c>
      <c r="W3" s="52">
        <f>HLOOKUP($A3,SumDec16x16[#All],MED,FALSE)</f>
        <v>63.108999999999995</v>
      </c>
      <c r="X3" s="47">
        <f>VLOOKUP(SummaryEncryption[[#This Row],[Mode]],DecFileSummary[#All],3,FALSE)</f>
        <v>16</v>
      </c>
    </row>
    <row r="4" spans="1:24" ht="17" thickTop="1" thickBot="1">
      <c r="A4" s="48" t="s">
        <v>1</v>
      </c>
      <c r="B4" s="13" t="s">
        <v>13</v>
      </c>
      <c r="C4" s="47" t="str">
        <f>CONCATENATE(SummaryEncryption[[#This Row],[Mode]],"_",SummaryEncryption[[#This Row],[Key size (B)]])</f>
        <v>CBC_16B</v>
      </c>
      <c r="D4" s="47">
        <v>1000</v>
      </c>
      <c r="E4" s="47">
        <f>SummaryEncryption[[#This Row],[Test Size (KB)]]/SummaryEncryption[[#This Row],[Average (ms)]]/1000</f>
        <v>8.5082161716515596</v>
      </c>
      <c r="F4" s="53">
        <f>HLOOKUP($A4,SumEnc16x16[#All],AVG,FALSE)</f>
        <v>0.11753345</v>
      </c>
      <c r="G4" s="53">
        <f>HLOOKUP($A4,SumEnc16x16[#All],MIN,FALSE)</f>
        <v>0.115275</v>
      </c>
      <c r="H4" s="53">
        <f>HLOOKUP($A4,SumEnc16x16[#All],MAX,FALSE)</f>
        <v>0.13567799999999999</v>
      </c>
      <c r="I4" s="53">
        <f>HLOOKUP($A4,SumEnc16x16[#All],MED,FALSE)</f>
        <v>0.1162175</v>
      </c>
      <c r="J4" s="47">
        <f>VLOOKUP(SummaryEncryption[[#This Row],[Mode]],EncFileSummary[#All],3,FALSE)</f>
        <v>64</v>
      </c>
      <c r="O4" s="48" t="s">
        <v>1</v>
      </c>
      <c r="P4" s="13" t="s">
        <v>13</v>
      </c>
      <c r="Q4" s="47" t="str">
        <f>CONCATENATE(SummaryDecryption[[#This Row],[Mode]],"_",SummaryDecryption[[#This Row],[Key size (B)]])</f>
        <v>CBC_16B</v>
      </c>
      <c r="R4" s="47">
        <v>1000</v>
      </c>
      <c r="S4" s="47">
        <f>SummaryDecryption[[#This Row],[Test Size (KB)]]/SummaryDecryption[[#This Row],[Average (ms)]]/1000</f>
        <v>1.5873154448173755E-2</v>
      </c>
      <c r="T4" s="53">
        <f>HLOOKUP($A4,SumDec16x16[#All],AVG,FALSE)</f>
        <v>62.999449999999989</v>
      </c>
      <c r="U4" s="53">
        <f>HLOOKUP($A4,SumDec16x16[#All],MIN,FALSE)</f>
        <v>62.238</v>
      </c>
      <c r="V4" s="53">
        <f>HLOOKUP($A4,SumDec16x16[#All],MAX,FALSE)</f>
        <v>64.606999999999999</v>
      </c>
      <c r="W4" s="53">
        <f>HLOOKUP($A4,SumDec16x16[#All],MED,FALSE)</f>
        <v>62.686499999999995</v>
      </c>
      <c r="X4" s="47">
        <f>VLOOKUP(SummaryEncryption[[#This Row],[Mode]],DecFileSummary[#All],3,FALSE)</f>
        <v>16</v>
      </c>
    </row>
    <row r="5" spans="1:24" ht="17" thickTop="1" thickBot="1">
      <c r="A5" s="49" t="s">
        <v>3</v>
      </c>
      <c r="B5" s="18" t="s">
        <v>13</v>
      </c>
      <c r="C5" s="47" t="str">
        <f>CONCATENATE(SummaryEncryption[[#This Row],[Mode]],"_",SummaryEncryption[[#This Row],[Key size (B)]])</f>
        <v>CFB_16B</v>
      </c>
      <c r="D5" s="47">
        <v>1000</v>
      </c>
      <c r="E5" s="47">
        <f>SummaryEncryption[[#This Row],[Test Size (KB)]]/SummaryEncryption[[#This Row],[Average (ms)]]/1000</f>
        <v>8.5261050151828606</v>
      </c>
      <c r="F5" s="54">
        <f>HLOOKUP($A5,SumEnc16x16[#All],AVG,FALSE)</f>
        <v>0.11728685000000001</v>
      </c>
      <c r="G5" s="54">
        <f>HLOOKUP($A5,SumEnc16x16[#All],MIN,FALSE)</f>
        <v>0.115413</v>
      </c>
      <c r="H5" s="54">
        <f>HLOOKUP($A5,SumEnc16x16[#All],MAX,FALSE)</f>
        <v>0.134327</v>
      </c>
      <c r="I5" s="54">
        <f>HLOOKUP($A5,SumEnc16x16[#All],MED,FALSE)</f>
        <v>0.1163385</v>
      </c>
      <c r="J5" s="47">
        <f>VLOOKUP(SummaryEncryption[[#This Row],[Mode]],EncFileSummary[#All],3,FALSE)</f>
        <v>32</v>
      </c>
      <c r="O5" s="49" t="s">
        <v>3</v>
      </c>
      <c r="P5" s="18" t="s">
        <v>13</v>
      </c>
      <c r="Q5" s="47" t="str">
        <f>CONCATENATE(SummaryDecryption[[#This Row],[Mode]],"_",SummaryDecryption[[#This Row],[Key size (B)]])</f>
        <v>CFB_16B</v>
      </c>
      <c r="R5" s="47">
        <v>1000</v>
      </c>
      <c r="S5" s="47">
        <f>SummaryDecryption[[#This Row],[Test Size (KB)]]/SummaryDecryption[[#This Row],[Average (ms)]]/1000</f>
        <v>5.2027214395305894E-3</v>
      </c>
      <c r="T5" s="54">
        <f>HLOOKUP($A5,SumDec16x16[#All],AVG,FALSE)</f>
        <v>192.20710000000003</v>
      </c>
      <c r="U5" s="54">
        <f>HLOOKUP($A5,SumDec16x16[#All],MIN,FALSE)</f>
        <v>184.53899999999999</v>
      </c>
      <c r="V5" s="54">
        <f>HLOOKUP($A5,SumDec16x16[#All],MAX,FALSE)</f>
        <v>218.923</v>
      </c>
      <c r="W5" s="54">
        <f>HLOOKUP($A5,SumDec16x16[#All],MED,FALSE)</f>
        <v>190.52949999999998</v>
      </c>
      <c r="X5" s="47">
        <f>VLOOKUP(SummaryEncryption[[#This Row],[Mode]],DecFileSummary[#All],3,FALSE)</f>
        <v>16</v>
      </c>
    </row>
    <row r="6" spans="1:24" ht="17" thickTop="1" thickBot="1">
      <c r="A6" s="48" t="s">
        <v>2</v>
      </c>
      <c r="B6" s="13" t="s">
        <v>13</v>
      </c>
      <c r="C6" s="47" t="str">
        <f>CONCATENATE(SummaryEncryption[[#This Row],[Mode]],"_",SummaryEncryption[[#This Row],[Key size (B)]])</f>
        <v>OFB_16B</v>
      </c>
      <c r="D6" s="47">
        <v>1000</v>
      </c>
      <c r="E6" s="47">
        <f>SummaryEncryption[[#This Row],[Test Size (KB)]]/SummaryEncryption[[#This Row],[Average (ms)]]/1000</f>
        <v>8.530396147331885</v>
      </c>
      <c r="F6" s="53">
        <f>HLOOKUP($A6,SumEnc16x16[#All],AVG,FALSE)</f>
        <v>0.11722784999999999</v>
      </c>
      <c r="G6" s="53">
        <f>HLOOKUP($A6,SumEnc16x16[#All],MIN,FALSE)</f>
        <v>0.11550299999999999</v>
      </c>
      <c r="H6" s="53">
        <f>HLOOKUP($A6,SumEnc16x16[#All],MAX,FALSE)</f>
        <v>0.124866</v>
      </c>
      <c r="I6" s="53">
        <f>HLOOKUP($A6,SumEnc16x16[#All],MED,FALSE)</f>
        <v>0.11644299999999999</v>
      </c>
      <c r="J6" s="47">
        <f>VLOOKUP(SummaryEncryption[[#This Row],[Mode]],EncFileSummary[#All],3,FALSE)</f>
        <v>32</v>
      </c>
      <c r="O6" s="48" t="s">
        <v>2</v>
      </c>
      <c r="P6" s="13" t="s">
        <v>13</v>
      </c>
      <c r="Q6" s="47" t="str">
        <f>CONCATENATE(SummaryDecryption[[#This Row],[Mode]],"_",SummaryDecryption[[#This Row],[Key size (B)]])</f>
        <v>OFB_16B</v>
      </c>
      <c r="R6" s="47">
        <v>1000</v>
      </c>
      <c r="S6" s="47">
        <f>SummaryDecryption[[#This Row],[Test Size (KB)]]/SummaryDecryption[[#This Row],[Average (ms)]]/1000</f>
        <v>7.0448382822148135E-3</v>
      </c>
      <c r="T6" s="53">
        <f>HLOOKUP($A6,SumDec16x16[#All],AVG,FALSE)</f>
        <v>141.94789999999998</v>
      </c>
      <c r="U6" s="53">
        <f>HLOOKUP($A6,SumDec16x16[#All],MIN,FALSE)</f>
        <v>140.482</v>
      </c>
      <c r="V6" s="53">
        <f>HLOOKUP($A6,SumDec16x16[#All],MAX,FALSE)</f>
        <v>145.13499999999999</v>
      </c>
      <c r="W6" s="53">
        <f>HLOOKUP($A6,SumDec16x16[#All],MED,FALSE)</f>
        <v>141.971</v>
      </c>
      <c r="X6" s="47">
        <f>VLOOKUP(SummaryEncryption[[#This Row],[Mode]],DecFileSummary[#All],3,FALSE)</f>
        <v>16</v>
      </c>
    </row>
    <row r="7" spans="1:24" ht="17" thickTop="1" thickBot="1">
      <c r="A7" s="49" t="s">
        <v>4</v>
      </c>
      <c r="B7" s="18" t="s">
        <v>13</v>
      </c>
      <c r="C7" s="47" t="str">
        <f>CONCATENATE(SummaryEncryption[[#This Row],[Mode]],"_",SummaryEncryption[[#This Row],[Key size (B)]])</f>
        <v>CTR_16B</v>
      </c>
      <c r="D7" s="47">
        <v>1000</v>
      </c>
      <c r="E7" s="47">
        <f>SummaryEncryption[[#This Row],[Test Size (KB)]]/SummaryEncryption[[#This Row],[Average (ms)]]/1000</f>
        <v>8.4297485827485179</v>
      </c>
      <c r="F7" s="54">
        <f>HLOOKUP($A7,SumEnc16x16[#All],AVG,FALSE)</f>
        <v>0.11862750000000002</v>
      </c>
      <c r="G7" s="54">
        <f>HLOOKUP($A7,SumEnc16x16[#All],MIN,FALSE)</f>
        <v>0.115039</v>
      </c>
      <c r="H7" s="54">
        <f>HLOOKUP($A7,SumEnc16x16[#All],MAX,FALSE)</f>
        <v>0.14241999999999999</v>
      </c>
      <c r="I7" s="54">
        <f>HLOOKUP($A7,SumEnc16x16[#All],MED,FALSE)</f>
        <v>0.1159685</v>
      </c>
      <c r="J7" s="47">
        <f>VLOOKUP(SummaryEncryption[[#This Row],[Mode]],EncFileSummary[#All],3,FALSE)</f>
        <v>32</v>
      </c>
      <c r="O7" s="49" t="s">
        <v>4</v>
      </c>
      <c r="P7" s="18" t="s">
        <v>13</v>
      </c>
      <c r="Q7" s="47" t="str">
        <f>CONCATENATE(SummaryDecryption[[#This Row],[Mode]],"_",SummaryDecryption[[#This Row],[Key size (B)]])</f>
        <v>CTR_16B</v>
      </c>
      <c r="R7" s="47">
        <v>1000</v>
      </c>
      <c r="S7" s="47">
        <f>SummaryDecryption[[#This Row],[Test Size (KB)]]/SummaryDecryption[[#This Row],[Average (ms)]]/1000</f>
        <v>6.5793715647456223E-3</v>
      </c>
      <c r="T7" s="54">
        <f>HLOOKUP($A7,SumDec16x16[#All],AVG,FALSE)</f>
        <v>151.99019999999999</v>
      </c>
      <c r="U7" s="54">
        <f>HLOOKUP($A7,SumDec16x16[#All],MIN,FALSE)</f>
        <v>146.33199999999999</v>
      </c>
      <c r="V7" s="54">
        <f>HLOOKUP($A7,SumDec16x16[#All],MAX,FALSE)</f>
        <v>189.25800000000001</v>
      </c>
      <c r="W7" s="54">
        <f>HLOOKUP($A7,SumDec16x16[#All],MED,FALSE)</f>
        <v>147.44900000000001</v>
      </c>
      <c r="X7" s="47">
        <f>VLOOKUP(SummaryEncryption[[#This Row],[Mode]],DecFileSummary[#All],3,FALSE)</f>
        <v>16</v>
      </c>
    </row>
    <row r="8" spans="1:24" ht="17" thickTop="1" thickBot="1">
      <c r="A8" s="48" t="s">
        <v>0</v>
      </c>
      <c r="B8" s="13" t="s">
        <v>13</v>
      </c>
      <c r="C8" s="47" t="str">
        <f>CONCATENATE(SummaryEncryption[[#This Row],[Mode]],"_",SummaryEncryption[[#This Row],[Key size (B)]])</f>
        <v>ECB_16B</v>
      </c>
      <c r="D8" s="13">
        <v>5000</v>
      </c>
      <c r="E8" s="47">
        <f>SummaryEncryption[[#This Row],[Test Size (KB)]]/SummaryEncryption[[#This Row],[Average (ms)]]/1000</f>
        <v>8.1036416874342761E-3</v>
      </c>
      <c r="F8" s="53">
        <f>HLOOKUP($A8,SumEnc16X32[#All],AVG,FALSE)</f>
        <v>617.00654999999983</v>
      </c>
      <c r="G8" s="53">
        <f>HLOOKUP($A8,SumEnc16x16[#All],MIN,FALSE)</f>
        <v>114.68600000000001</v>
      </c>
      <c r="H8" s="53">
        <f>HLOOKUP($A8,SumEnc16x16[#All],MAX,FALSE)</f>
        <v>141.81200000000001</v>
      </c>
      <c r="I8" s="53">
        <f>HLOOKUP($A8,SumEnc16x16[#All],MED,FALSE)</f>
        <v>115.791</v>
      </c>
      <c r="J8" s="47">
        <f>VLOOKUP(SummaryEncryption[[#This Row],[Mode]],EncFileSummary[#All],6,FALSE)</f>
        <v>96</v>
      </c>
      <c r="O8" s="48" t="s">
        <v>0</v>
      </c>
      <c r="P8" s="13" t="s">
        <v>13</v>
      </c>
      <c r="Q8" s="47" t="str">
        <f>CONCATENATE(SummaryDecryption[[#This Row],[Mode]],"_",SummaryDecryption[[#This Row],[Key size (B)]])</f>
        <v>ECB_16B</v>
      </c>
      <c r="R8" s="13">
        <v>5000</v>
      </c>
      <c r="S8" s="47">
        <f>SummaryDecryption[[#This Row],[Test Size (KB)]]/SummaryDecryption[[#This Row],[Average (ms)]]/1000</f>
        <v>1.4020988016962593E-2</v>
      </c>
      <c r="T8" s="53">
        <f>HLOOKUP($A8,SumDec16x32[#All],AVG,FALSE)</f>
        <v>356.60825</v>
      </c>
      <c r="U8" s="53">
        <f>HLOOKUP($A8,SumDec16x16[#All],MIN,FALSE)</f>
        <v>62.780999999999999</v>
      </c>
      <c r="V8" s="53">
        <f>HLOOKUP($A8,SumDec16x16[#All],MAX,FALSE)</f>
        <v>82.816000000000003</v>
      </c>
      <c r="W8" s="53">
        <f>HLOOKUP($A8,SumDec16x16[#All],MED,FALSE)</f>
        <v>63.108999999999995</v>
      </c>
      <c r="X8" s="47">
        <f>VLOOKUP(SummaryEncryption[[#This Row],[Mode]],DecFileSummary[#All],6,FALSE)</f>
        <v>32</v>
      </c>
    </row>
    <row r="9" spans="1:24" ht="17" thickTop="1" thickBot="1">
      <c r="A9" s="49" t="s">
        <v>1</v>
      </c>
      <c r="B9" s="18" t="s">
        <v>13</v>
      </c>
      <c r="C9" s="47" t="str">
        <f>CONCATENATE(SummaryEncryption[[#This Row],[Mode]],"_",SummaryEncryption[[#This Row],[Key size (B)]])</f>
        <v>CBC_16B</v>
      </c>
      <c r="D9" s="13">
        <v>5000</v>
      </c>
      <c r="E9" s="47">
        <f>SummaryEncryption[[#This Row],[Test Size (KB)]]/SummaryEncryption[[#This Row],[Average (ms)]]/1000</f>
        <v>8.1604554448109212</v>
      </c>
      <c r="F9" s="54">
        <f>HLOOKUP($A9,SumEnc16X32[#All],AVG,FALSE)</f>
        <v>0.61271089999999995</v>
      </c>
      <c r="G9" s="54">
        <f>HLOOKUP($A9,SumEnc16X32[#All],MIN,FALSE)</f>
        <v>0.57288700000000004</v>
      </c>
      <c r="H9" s="54">
        <f>HLOOKUP($A9,SumEnc16X32[#All],MAX,FALSE)</f>
        <v>0.72845700000000002</v>
      </c>
      <c r="I9" s="54">
        <f>HLOOKUP($A9,SumEnc16X32[#All],MED,FALSE)</f>
        <v>0.60290549999999998</v>
      </c>
      <c r="J9" s="47">
        <f>VLOOKUP(SummaryEncryption[[#This Row],[Mode]],EncFileSummary[#All],6,FALSE)</f>
        <v>96</v>
      </c>
      <c r="O9" s="49" t="s">
        <v>1</v>
      </c>
      <c r="P9" s="18" t="s">
        <v>13</v>
      </c>
      <c r="Q9" s="47" t="str">
        <f>CONCATENATE(SummaryDecryption[[#This Row],[Mode]],"_",SummaryDecryption[[#This Row],[Key size (B)]])</f>
        <v>CBC_16B</v>
      </c>
      <c r="R9" s="13">
        <v>5000</v>
      </c>
      <c r="S9" s="47">
        <f>SummaryDecryption[[#This Row],[Test Size (KB)]]/SummaryDecryption[[#This Row],[Average (ms)]]/1000</f>
        <v>1.3910947400899454E-2</v>
      </c>
      <c r="T9" s="54">
        <f>HLOOKUP($A9,SumDec16x32[#All],AVG,FALSE)</f>
        <v>359.42914999999999</v>
      </c>
      <c r="U9" s="54">
        <f>HLOOKUP($A9,SumDec16x32[#All],MIN,FALSE)</f>
        <v>317.15300000000002</v>
      </c>
      <c r="V9" s="54">
        <f>HLOOKUP($A9,SumDec16x32[#All],MAX,FALSE)</f>
        <v>458.274</v>
      </c>
      <c r="W9" s="54">
        <f>HLOOKUP($A9,SumDec16x32[#All],MED,FALSE)</f>
        <v>344.24099999999999</v>
      </c>
      <c r="X9" s="47">
        <f>VLOOKUP(SummaryEncryption[[#This Row],[Mode]],DecFileSummary[#All],6,FALSE)</f>
        <v>32</v>
      </c>
    </row>
    <row r="10" spans="1:24" ht="17" thickTop="1" thickBot="1">
      <c r="A10" s="48" t="s">
        <v>3</v>
      </c>
      <c r="B10" s="13" t="s">
        <v>13</v>
      </c>
      <c r="C10" s="47" t="str">
        <f>CONCATENATE(SummaryEncryption[[#This Row],[Mode]],"_",SummaryEncryption[[#This Row],[Key size (B)]])</f>
        <v>CFB_16B</v>
      </c>
      <c r="D10" s="13">
        <v>5000</v>
      </c>
      <c r="E10" s="47">
        <f>SummaryEncryption[[#This Row],[Test Size (KB)]]/SummaryEncryption[[#This Row],[Average (ms)]]/1000</f>
        <v>8.0112933600237568</v>
      </c>
      <c r="F10" s="53">
        <f>HLOOKUP($A10,SumEnc16X32[#All],AVG,FALSE)</f>
        <v>0.62411895000000006</v>
      </c>
      <c r="G10" s="53">
        <f>HLOOKUP($A10,SumEnc16X32[#All],MIN,FALSE)</f>
        <v>0.58389899999999995</v>
      </c>
      <c r="H10" s="53">
        <f>HLOOKUP($A10,SumEnc16X32[#All],MAX,FALSE)</f>
        <v>0.71947000000000005</v>
      </c>
      <c r="I10" s="53">
        <f>HLOOKUP($A10,SumEnc16X32[#All],MED,FALSE)</f>
        <v>0.61833749999999998</v>
      </c>
      <c r="J10" s="47">
        <f>VLOOKUP(SummaryEncryption[[#This Row],[Mode]],EncFileSummary[#All],6,FALSE)</f>
        <v>64</v>
      </c>
      <c r="O10" s="48" t="s">
        <v>3</v>
      </c>
      <c r="P10" s="13" t="s">
        <v>13</v>
      </c>
      <c r="Q10" s="47" t="str">
        <f>CONCATENATE(SummaryDecryption[[#This Row],[Mode]],"_",SummaryDecryption[[#This Row],[Key size (B)]])</f>
        <v>CFB_16B</v>
      </c>
      <c r="R10" s="13">
        <v>5000</v>
      </c>
      <c r="S10" s="47">
        <f>SummaryDecryption[[#This Row],[Test Size (KB)]]/SummaryDecryption[[#This Row],[Average (ms)]]/1000</f>
        <v>4.5571851543313524E-3</v>
      </c>
      <c r="T10" s="53">
        <f>HLOOKUP($A10,SumDec16x32[#All],AVG,FALSE)</f>
        <v>1097.1685000000002</v>
      </c>
      <c r="U10" s="53">
        <f>HLOOKUP($A10,SumDec16x32[#All],MIN,FALSE)</f>
        <v>948.50400000000002</v>
      </c>
      <c r="V10" s="53">
        <f>HLOOKUP($A10,SumDec16x32[#All],MAX,FALSE)</f>
        <v>1468.96</v>
      </c>
      <c r="W10" s="53">
        <f>HLOOKUP($A10,SumDec16x32[#All],MED,FALSE)</f>
        <v>1071.1999999999998</v>
      </c>
      <c r="X10" s="47">
        <f>VLOOKUP(SummaryEncryption[[#This Row],[Mode]],DecFileSummary[#All],6,FALSE)</f>
        <v>32</v>
      </c>
    </row>
    <row r="11" spans="1:24" ht="17" thickTop="1" thickBot="1">
      <c r="A11" s="49" t="s">
        <v>2</v>
      </c>
      <c r="B11" s="18" t="s">
        <v>13</v>
      </c>
      <c r="C11" s="47" t="str">
        <f>CONCATENATE(SummaryEncryption[[#This Row],[Mode]],"_",SummaryEncryption[[#This Row],[Key size (B)]])</f>
        <v>OFB_16B</v>
      </c>
      <c r="D11" s="13">
        <v>5000</v>
      </c>
      <c r="E11" s="47">
        <f>SummaryEncryption[[#This Row],[Test Size (KB)]]/SummaryEncryption[[#This Row],[Average (ms)]]/1000</f>
        <v>7.9618525351852174</v>
      </c>
      <c r="F11" s="54">
        <f>HLOOKUP($A11,SumEnc16X32[#All],AVG,FALSE)</f>
        <v>0.62799455000000004</v>
      </c>
      <c r="G11" s="54">
        <f>HLOOKUP($A11,SumEnc16X32[#All],MIN,FALSE)</f>
        <v>0.58622600000000002</v>
      </c>
      <c r="H11" s="54">
        <f>HLOOKUP($A11,SumEnc16X32[#All],MAX,FALSE)</f>
        <v>0.74222200000000005</v>
      </c>
      <c r="I11" s="54">
        <f>HLOOKUP($A11,SumEnc16X32[#All],MED,FALSE)</f>
        <v>0.61710850000000006</v>
      </c>
      <c r="J11" s="47">
        <f>VLOOKUP(SummaryEncryption[[#This Row],[Mode]],EncFileSummary[#All],6,FALSE)</f>
        <v>64</v>
      </c>
      <c r="O11" s="49" t="s">
        <v>2</v>
      </c>
      <c r="P11" s="18" t="s">
        <v>13</v>
      </c>
      <c r="Q11" s="47" t="str">
        <f>CONCATENATE(SummaryDecryption[[#This Row],[Mode]],"_",SummaryDecryption[[#This Row],[Key size (B)]])</f>
        <v>OFB_16B</v>
      </c>
      <c r="R11" s="13">
        <v>5000</v>
      </c>
      <c r="S11" s="47">
        <f>SummaryDecryption[[#This Row],[Test Size (KB)]]/SummaryDecryption[[#This Row],[Average (ms)]]/1000</f>
        <v>6.1555242444555659E-3</v>
      </c>
      <c r="T11" s="54">
        <f>HLOOKUP($A11,SumDec16x32[#All],AVG,FALSE)</f>
        <v>812.27850000000001</v>
      </c>
      <c r="U11" s="54">
        <f>HLOOKUP($A11,SumDec16x32[#All],MIN,FALSE)</f>
        <v>710.39</v>
      </c>
      <c r="V11" s="54">
        <f>HLOOKUP($A11,SumDec16x32[#All],MAX,FALSE)</f>
        <v>992.85299999999995</v>
      </c>
      <c r="W11" s="54">
        <f>HLOOKUP($A11,SumDec16x32[#All],MED,FALSE)</f>
        <v>806.49800000000005</v>
      </c>
      <c r="X11" s="47">
        <f>VLOOKUP(SummaryEncryption[[#This Row],[Mode]],DecFileSummary[#All],6,FALSE)</f>
        <v>32</v>
      </c>
    </row>
    <row r="12" spans="1:24" ht="17" thickTop="1" thickBot="1">
      <c r="A12" s="48" t="s">
        <v>4</v>
      </c>
      <c r="B12" s="13" t="s">
        <v>13</v>
      </c>
      <c r="C12" s="47" t="str">
        <f>CONCATENATE(SummaryEncryption[[#This Row],[Mode]],"_",SummaryEncryption[[#This Row],[Key size (B)]])</f>
        <v>CTR_16B</v>
      </c>
      <c r="D12" s="13">
        <v>5000</v>
      </c>
      <c r="E12" s="47">
        <f>SummaryEncryption[[#This Row],[Test Size (KB)]]/SummaryEncryption[[#This Row],[Average (ms)]]/1000</f>
        <v>7.9975879274810717</v>
      </c>
      <c r="F12" s="53">
        <f>HLOOKUP($A12,SumEnc16X32[#All],AVG,FALSE)</f>
        <v>0.62518850000000004</v>
      </c>
      <c r="G12" s="53">
        <f>HLOOKUP($A12,SumEnc16X32[#All],MIN,FALSE)</f>
        <v>0.57581099999999996</v>
      </c>
      <c r="H12" s="53">
        <f>HLOOKUP($A12,SumEnc16X32[#All],MAX,FALSE)</f>
        <v>0.82282900000000003</v>
      </c>
      <c r="I12" s="53">
        <f>HLOOKUP($A12,SumEnc16X32[#All],MED,FALSE)</f>
        <v>0.61171149999999996</v>
      </c>
      <c r="J12" s="47">
        <f>VLOOKUP(SummaryEncryption[[#This Row],[Mode]],EncFileSummary[#All],6,FALSE)</f>
        <v>64</v>
      </c>
      <c r="O12" s="48" t="s">
        <v>4</v>
      </c>
      <c r="P12" s="13" t="s">
        <v>13</v>
      </c>
      <c r="Q12" s="47" t="str">
        <f>CONCATENATE(SummaryDecryption[[#This Row],[Mode]],"_",SummaryDecryption[[#This Row],[Key size (B)]])</f>
        <v>CTR_16B</v>
      </c>
      <c r="R12" s="13">
        <v>5000</v>
      </c>
      <c r="S12" s="47">
        <f>SummaryDecryption[[#This Row],[Test Size (KB)]]/SummaryDecryption[[#This Row],[Average (ms)]]/1000</f>
        <v>6.0820295489323606E-3</v>
      </c>
      <c r="T12" s="53">
        <f>HLOOKUP($A12,SumDec16x32[#All],AVG,FALSE)</f>
        <v>822.09400000000005</v>
      </c>
      <c r="U12" s="53">
        <f>HLOOKUP($A12,SumDec16x32[#All],MIN,FALSE)</f>
        <v>733.077</v>
      </c>
      <c r="V12" s="53">
        <f>HLOOKUP($A12,SumDec16x32[#All],MAX,FALSE)</f>
        <v>932.97500000000002</v>
      </c>
      <c r="W12" s="53">
        <f>HLOOKUP($A12,SumDec16x32[#All],MED,FALSE)</f>
        <v>799.89149999999995</v>
      </c>
      <c r="X12" s="47">
        <f>VLOOKUP(SummaryEncryption[[#This Row],[Mode]],DecFileSummary[#All],6,FALSE)</f>
        <v>32</v>
      </c>
    </row>
    <row r="13" spans="1:24" ht="17" thickTop="1" thickBot="1">
      <c r="A13" s="49" t="s">
        <v>0</v>
      </c>
      <c r="B13" s="18" t="s">
        <v>13</v>
      </c>
      <c r="C13" s="47" t="str">
        <f>CONCATENATE(SummaryEncryption[[#This Row],[Mode]],"_",SummaryEncryption[[#This Row],[Key size (B)]])</f>
        <v>ECB_16B</v>
      </c>
      <c r="D13" s="18">
        <v>10000</v>
      </c>
      <c r="E13" s="47">
        <f>SummaryEncryption[[#This Row],[Test Size (KB)]]/SummaryEncryption[[#This Row],[Average (ms)]]/1000</f>
        <v>8.1124120715936575E-3</v>
      </c>
      <c r="F13" s="54">
        <f>HLOOKUP($A13,SumEnc16x10[#All],AVG,FALSE)</f>
        <v>1232.6790000000001</v>
      </c>
      <c r="G13" s="54">
        <f>HLOOKUP($A13,SumEnc16x10[#All],MIN,FALSE)</f>
        <v>1171.45</v>
      </c>
      <c r="H13" s="54">
        <f>HLOOKUP($A13,SumEnc16x10[#All],MAX,FALSE)</f>
        <v>1416.37</v>
      </c>
      <c r="I13" s="54">
        <f>HLOOKUP($A13,SumEnc16x10[#All],MED,FALSE)</f>
        <v>1213.4449999999999</v>
      </c>
      <c r="J13" s="47">
        <f>VLOOKUP(SummaryEncryption[[#This Row],[Mode]],EncFileSummary[#All],9,FALSE)</f>
        <v>20971552</v>
      </c>
      <c r="O13" s="49" t="s">
        <v>0</v>
      </c>
      <c r="P13" s="18" t="s">
        <v>13</v>
      </c>
      <c r="Q13" s="47" t="str">
        <f>CONCATENATE(SummaryDecryption[[#This Row],[Mode]],"_",SummaryDecryption[[#This Row],[Key size (B)]])</f>
        <v>ECB_16B</v>
      </c>
      <c r="R13" s="18">
        <v>10000</v>
      </c>
      <c r="S13" s="47">
        <f>SummaryDecryption[[#This Row],[Test Size (KB)]]/SummaryDecryption[[#This Row],[Average (ms)]]/1000</f>
        <v>1.051997279955833E-2</v>
      </c>
      <c r="T13" s="54">
        <f>HLOOKUP($A13,SumDec16x10[#All],AVG,FALSE)</f>
        <v>950.57279999999992</v>
      </c>
      <c r="U13" s="54">
        <f>HLOOKUP($A13,SumDec16x10[#All],MIN,FALSE)</f>
        <v>649.44600000000003</v>
      </c>
      <c r="V13" s="54">
        <f>HLOOKUP($A13,SumDec16x10[#All],MAX,FALSE)</f>
        <v>1758.42</v>
      </c>
      <c r="W13" s="54">
        <f>HLOOKUP($A13,SumDec16x10[#All],MED,FALSE)</f>
        <v>794.10400000000004</v>
      </c>
      <c r="X13" s="47">
        <f>VLOOKUP(SummaryEncryption[[#This Row],[Mode]],DecFileSummary[#All],9,FALSE)</f>
        <v>10485760</v>
      </c>
    </row>
    <row r="14" spans="1:24" ht="17" thickTop="1" thickBot="1">
      <c r="A14" s="48" t="s">
        <v>1</v>
      </c>
      <c r="B14" s="13" t="s">
        <v>13</v>
      </c>
      <c r="C14" s="47" t="str">
        <f>CONCATENATE(SummaryEncryption[[#This Row],[Mode]],"_",SummaryEncryption[[#This Row],[Key size (B)]])</f>
        <v>CBC_16B</v>
      </c>
      <c r="D14" s="13">
        <v>10000</v>
      </c>
      <c r="E14" s="47">
        <f>SummaryEncryption[[#This Row],[Test Size (KB)]]/SummaryEncryption[[#This Row],[Average (ms)]]/1000</f>
        <v>8.2726534204940112</v>
      </c>
      <c r="F14" s="53">
        <f>HLOOKUP($A14,SumEnc16x10[#All],AVG,FALSE)</f>
        <v>1.2088019999999999</v>
      </c>
      <c r="G14" s="53">
        <f>HLOOKUP($A14,SumEnc16x10[#All],MIN,FALSE)</f>
        <v>1.1774500000000001</v>
      </c>
      <c r="H14" s="53">
        <f>HLOOKUP($A14,SumEnc16x10[#All],MAX,FALSE)</f>
        <v>1.3730800000000001</v>
      </c>
      <c r="I14" s="53">
        <f>HLOOKUP($A14,SumEnc16x10[#All],MED,FALSE)</f>
        <v>1.193935</v>
      </c>
      <c r="J14" s="47">
        <f>VLOOKUP(SummaryEncryption[[#This Row],[Mode]],EncFileSummary[#All],9,FALSE)</f>
        <v>20971552</v>
      </c>
      <c r="O14" s="48" t="s">
        <v>1</v>
      </c>
      <c r="P14" s="13" t="s">
        <v>13</v>
      </c>
      <c r="Q14" s="47" t="str">
        <f>CONCATENATE(SummaryDecryption[[#This Row],[Mode]],"_",SummaryDecryption[[#This Row],[Key size (B)]])</f>
        <v>CBC_16B</v>
      </c>
      <c r="R14" s="13">
        <v>10000</v>
      </c>
      <c r="S14" s="47">
        <f>SummaryDecryption[[#This Row],[Test Size (KB)]]/SummaryDecryption[[#This Row],[Average (ms)]]/1000</f>
        <v>1.2196889012700864E-2</v>
      </c>
      <c r="T14" s="53">
        <f>HLOOKUP($A14,SumDec16x10[#All],AVG,FALSE)</f>
        <v>819.88120000000004</v>
      </c>
      <c r="U14" s="53">
        <f>HLOOKUP($A14,SumDec16x10[#All],MIN,FALSE)</f>
        <v>654.41999999999996</v>
      </c>
      <c r="V14" s="53">
        <f>HLOOKUP($A14,SumDec16x10[#All],MAX,FALSE)</f>
        <v>1053.79</v>
      </c>
      <c r="W14" s="53">
        <f>HLOOKUP($A14,SumDec16x10[#All],MED,FALSE)</f>
        <v>808.99299999999994</v>
      </c>
      <c r="X14" s="47">
        <f>VLOOKUP(SummaryEncryption[[#This Row],[Mode]],DecFileSummary[#All],9,FALSE)</f>
        <v>10485760</v>
      </c>
    </row>
    <row r="15" spans="1:24" ht="17" thickTop="1" thickBot="1">
      <c r="A15" s="49" t="s">
        <v>3</v>
      </c>
      <c r="B15" s="18" t="s">
        <v>13</v>
      </c>
      <c r="C15" s="47" t="str">
        <f>CONCATENATE(SummaryEncryption[[#This Row],[Mode]],"_",SummaryEncryption[[#This Row],[Key size (B)]])</f>
        <v>CFB_16B</v>
      </c>
      <c r="D15" s="18">
        <v>10000</v>
      </c>
      <c r="E15" s="47">
        <f>SummaryEncryption[[#This Row],[Test Size (KB)]]/SummaryEncryption[[#This Row],[Average (ms)]]/1000</f>
        <v>8.4048586807061429</v>
      </c>
      <c r="F15" s="54">
        <f>HLOOKUP($A15,SumEnc16x10[#All],AVG,FALSE)</f>
        <v>1.1897879999999998</v>
      </c>
      <c r="G15" s="54">
        <f>HLOOKUP($A15,SumEnc16x10[#All],MIN,FALSE)</f>
        <v>1.13819</v>
      </c>
      <c r="H15" s="54">
        <f>HLOOKUP($A15,SumEnc16x10[#All],MAX,FALSE)</f>
        <v>1.2513399999999999</v>
      </c>
      <c r="I15" s="54">
        <f>HLOOKUP($A15,SumEnc16x10[#All],MED,FALSE)</f>
        <v>1.18788</v>
      </c>
      <c r="J15" s="47">
        <f>VLOOKUP(SummaryEncryption[[#This Row],[Mode]],EncFileSummary[#All],9,FALSE)</f>
        <v>20971520</v>
      </c>
      <c r="O15" s="49" t="s">
        <v>3</v>
      </c>
      <c r="P15" s="18" t="s">
        <v>13</v>
      </c>
      <c r="Q15" s="47" t="str">
        <f>CONCATENATE(SummaryDecryption[[#This Row],[Mode]],"_",SummaryDecryption[[#This Row],[Key size (B)]])</f>
        <v>CFB_16B</v>
      </c>
      <c r="R15" s="18">
        <v>10000</v>
      </c>
      <c r="S15" s="47">
        <f>SummaryDecryption[[#This Row],[Test Size (KB)]]/SummaryDecryption[[#This Row],[Average (ms)]]/1000</f>
        <v>5.8176504022614374E-3</v>
      </c>
      <c r="T15" s="54">
        <f>HLOOKUP($A15,SumDec16x10[#All],AVG,FALSE)</f>
        <v>1718.9069999999999</v>
      </c>
      <c r="U15" s="54">
        <f>HLOOKUP($A15,SumDec16x10[#All],MIN,FALSE)</f>
        <v>1506.99</v>
      </c>
      <c r="V15" s="54">
        <f>HLOOKUP($A15,SumDec16x10[#All],MAX,FALSE)</f>
        <v>1968.33</v>
      </c>
      <c r="W15" s="54">
        <f>HLOOKUP($A15,SumDec16x10[#All],MED,FALSE)</f>
        <v>1757.2249999999999</v>
      </c>
      <c r="X15" s="47">
        <f>VLOOKUP(SummaryEncryption[[#This Row],[Mode]],DecFileSummary[#All],9,FALSE)</f>
        <v>10485760</v>
      </c>
    </row>
    <row r="16" spans="1:24" ht="17" thickTop="1" thickBot="1">
      <c r="A16" s="48" t="s">
        <v>2</v>
      </c>
      <c r="B16" s="13" t="s">
        <v>13</v>
      </c>
      <c r="C16" s="47" t="str">
        <f>CONCATENATE(SummaryEncryption[[#This Row],[Mode]],"_",SummaryEncryption[[#This Row],[Key size (B)]])</f>
        <v>OFB_16B</v>
      </c>
      <c r="D16" s="13">
        <v>10000</v>
      </c>
      <c r="E16" s="47">
        <f>SummaryEncryption[[#This Row],[Test Size (KB)]]/SummaryEncryption[[#This Row],[Average (ms)]]/1000</f>
        <v>8.1878019763716399</v>
      </c>
      <c r="F16" s="53">
        <f>HLOOKUP($A16,SumEnc16x10[#All],AVG,FALSE)</f>
        <v>1.2213290000000003</v>
      </c>
      <c r="G16" s="53">
        <f>HLOOKUP($A16,SumEnc16x10[#All],MIN,FALSE)</f>
        <v>1.1651400000000001</v>
      </c>
      <c r="H16" s="53">
        <f>HLOOKUP($A16,SumEnc16x10[#All],MAX,FALSE)</f>
        <v>1.33633</v>
      </c>
      <c r="I16" s="53">
        <f>HLOOKUP($A16,SumEnc16x10[#All],MED,FALSE)</f>
        <v>1.205765</v>
      </c>
      <c r="J16" s="47">
        <f>VLOOKUP(SummaryEncryption[[#This Row],[Mode]],EncFileSummary[#All],9,FALSE)</f>
        <v>20971520</v>
      </c>
      <c r="O16" s="48" t="s">
        <v>2</v>
      </c>
      <c r="P16" s="13" t="s">
        <v>13</v>
      </c>
      <c r="Q16" s="47" t="str">
        <f>CONCATENATE(SummaryDecryption[[#This Row],[Mode]],"_",SummaryDecryption[[#This Row],[Key size (B)]])</f>
        <v>OFB_16B</v>
      </c>
      <c r="R16" s="13">
        <v>10000</v>
      </c>
      <c r="S16" s="47">
        <f>SummaryDecryption[[#This Row],[Test Size (KB)]]/SummaryDecryption[[#This Row],[Average (ms)]]/1000</f>
        <v>6.0835317578608362E-3</v>
      </c>
      <c r="T16" s="53">
        <f>HLOOKUP($A16,SumDec16x10[#All],AVG,FALSE)</f>
        <v>1643.7819999999999</v>
      </c>
      <c r="U16" s="53">
        <f>HLOOKUP($A16,SumDec16x10[#All],MIN,FALSE)</f>
        <v>1502.28</v>
      </c>
      <c r="V16" s="53">
        <f>HLOOKUP($A16,SumDec16x10[#All],MAX,FALSE)</f>
        <v>1834.49</v>
      </c>
      <c r="W16" s="53">
        <f>HLOOKUP($A16,SumDec16x10[#All],MED,FALSE)</f>
        <v>1638.085</v>
      </c>
      <c r="X16" s="47">
        <f>VLOOKUP(SummaryEncryption[[#This Row],[Mode]],DecFileSummary[#All],9,FALSE)</f>
        <v>10485760</v>
      </c>
    </row>
    <row r="17" spans="1:24" ht="17" thickTop="1" thickBot="1">
      <c r="A17" s="49" t="s">
        <v>4</v>
      </c>
      <c r="B17" s="18" t="s">
        <v>13</v>
      </c>
      <c r="C17" s="47" t="str">
        <f>CONCATENATE(SummaryEncryption[[#This Row],[Mode]],"_",SummaryEncryption[[#This Row],[Key size (B)]])</f>
        <v>CTR_16B</v>
      </c>
      <c r="D17" s="18">
        <v>10000</v>
      </c>
      <c r="E17" s="47">
        <f>SummaryEncryption[[#This Row],[Test Size (KB)]]/SummaryEncryption[[#This Row],[Average (ms)]]/1000</f>
        <v>8.4791176291030457</v>
      </c>
      <c r="F17" s="54">
        <f>HLOOKUP($A17,SumEnc16x10[#All],AVG,FALSE)</f>
        <v>1.1793679999999997</v>
      </c>
      <c r="G17" s="54">
        <f>HLOOKUP($A17,SumEnc16x10[#All],MIN,FALSE)</f>
        <v>1.14177</v>
      </c>
      <c r="H17" s="54">
        <f>HLOOKUP($A17,SumEnc16x10[#All],MAX,FALSE)</f>
        <v>1.1984399999999999</v>
      </c>
      <c r="I17" s="54">
        <f>HLOOKUP($A17,SumEnc16x10[#All],MED,FALSE)</f>
        <v>1.1839949999999999</v>
      </c>
      <c r="J17" s="47">
        <f>VLOOKUP(SummaryEncryption[[#This Row],[Mode]],EncFileSummary[#All],9,FALSE)</f>
        <v>20971520</v>
      </c>
      <c r="O17" s="49" t="s">
        <v>4</v>
      </c>
      <c r="P17" s="18" t="s">
        <v>13</v>
      </c>
      <c r="Q17" s="47" t="str">
        <f>CONCATENATE(SummaryDecryption[[#This Row],[Mode]],"_",SummaryDecryption[[#This Row],[Key size (B)]])</f>
        <v>CTR_16B</v>
      </c>
      <c r="R17" s="18">
        <v>10000</v>
      </c>
      <c r="S17" s="47">
        <f>SummaryDecryption[[#This Row],[Test Size (KB)]]/SummaryDecryption[[#This Row],[Average (ms)]]/1000</f>
        <v>5.5315822925200283E-3</v>
      </c>
      <c r="T17" s="54">
        <f>HLOOKUP($A17,SumDec16x10[#All],AVG,FALSE)</f>
        <v>1807.8010000000002</v>
      </c>
      <c r="U17" s="54">
        <f>HLOOKUP($A17,SumDec16x10[#All],MIN,FALSE)</f>
        <v>1502.41</v>
      </c>
      <c r="V17" s="54">
        <f>HLOOKUP($A17,SumDec16x10[#All],MAX,FALSE)</f>
        <v>3076.15</v>
      </c>
      <c r="W17" s="54">
        <f>HLOOKUP($A17,SumDec16x10[#All],MED,FALSE)</f>
        <v>1684.25</v>
      </c>
      <c r="X17" s="47">
        <f>VLOOKUP(SummaryEncryption[[#This Row],[Mode]],DecFileSummary[#All],9,FALSE)</f>
        <v>10485760</v>
      </c>
    </row>
    <row r="18" spans="1:24" ht="17" thickTop="1" thickBot="1">
      <c r="A18" s="48" t="s">
        <v>0</v>
      </c>
      <c r="B18" s="13" t="s">
        <v>13</v>
      </c>
      <c r="C18" s="47" t="str">
        <f>CONCATENATE(SummaryEncryption[[#This Row],[Mode]],"_",SummaryEncryption[[#This Row],[Key size (B)]])</f>
        <v>ECB_16B</v>
      </c>
      <c r="D18" s="13">
        <v>256000</v>
      </c>
      <c r="E18" s="47">
        <f>SummaryEncryption[[#This Row],[Test Size (KB)]]/SummaryEncryption[[#This Row],[Average (ms)]]/1000</f>
        <v>6.8539013289875298E-3</v>
      </c>
      <c r="F18" s="53">
        <f>HLOOKUP($A18,SumEnc16x256[#All],AVG,FALSE)</f>
        <v>37350.990000000005</v>
      </c>
      <c r="G18" s="53">
        <f>HLOOKUP($A18,SumEnc16x256[#All],MIN,FALSE)</f>
        <v>32920.699999999997</v>
      </c>
      <c r="H18" s="53">
        <f>HLOOKUP($A18,SumEnc16x256[#All],MAX,FALSE)</f>
        <v>41554</v>
      </c>
      <c r="I18" s="53">
        <f>HLOOKUP($A18,SumEnc16x256[#All],MED,FALSE)</f>
        <v>37727</v>
      </c>
      <c r="J18" s="47">
        <f>VLOOKUP(SummaryEncryption[[#This Row],[Mode]],EncFileSummary[#All],12,FALSE)</f>
        <v>536870944</v>
      </c>
      <c r="O18" s="48" t="s">
        <v>0</v>
      </c>
      <c r="P18" s="13" t="s">
        <v>13</v>
      </c>
      <c r="Q18" s="47" t="str">
        <f>CONCATENATE(SummaryDecryption[[#This Row],[Mode]],"_",SummaryDecryption[[#This Row],[Key size (B)]])</f>
        <v>ECB_16B</v>
      </c>
      <c r="R18" s="13">
        <v>256000</v>
      </c>
      <c r="S18" s="47">
        <f>SummaryDecryption[[#This Row],[Test Size (KB)]]/SummaryDecryption[[#This Row],[Average (ms)]]/1000</f>
        <v>6.2912510078903579E-3</v>
      </c>
      <c r="T18" s="53">
        <f>HLOOKUP($A18,SumDec16x256[#All],AVG,FALSE)</f>
        <v>40691.430000000008</v>
      </c>
      <c r="U18" s="53">
        <f>HLOOKUP($A18,SumDec16x256[#All],MIN,FALSE)</f>
        <v>18018.8</v>
      </c>
      <c r="V18" s="53">
        <f>HLOOKUP($A18,SumDec16x256[#All],MAX,FALSE)</f>
        <v>212627</v>
      </c>
      <c r="W18" s="53">
        <f>HLOOKUP($A18,SumDec16x256[#All],MED,FALSE)</f>
        <v>20381.849999999999</v>
      </c>
      <c r="X18" s="47">
        <f>VLOOKUP(SummaryEncryption[[#This Row],[Mode]],DecFileSummary[#All],12,FALSE)</f>
        <v>268435456</v>
      </c>
    </row>
    <row r="19" spans="1:24" ht="17" thickTop="1" thickBot="1">
      <c r="A19" s="49" t="s">
        <v>1</v>
      </c>
      <c r="B19" s="18" t="s">
        <v>13</v>
      </c>
      <c r="C19" s="47" t="str">
        <f>CONCATENATE(SummaryEncryption[[#This Row],[Mode]],"_",SummaryEncryption[[#This Row],[Key size (B)]])</f>
        <v>CBC_16B</v>
      </c>
      <c r="D19" s="18">
        <v>256000</v>
      </c>
      <c r="E19" s="47">
        <f>SummaryEncryption[[#This Row],[Test Size (KB)]]/SummaryEncryption[[#This Row],[Average (ms)]]/1000</f>
        <v>6.8276534901844483</v>
      </c>
      <c r="F19" s="54">
        <f>HLOOKUP($A19,SumEnc16x256[#All],AVG,FALSE)</f>
        <v>37.494579999999999</v>
      </c>
      <c r="G19" s="54">
        <f>HLOOKUP($A19,SumEnc16x256[#All],MIN,FALSE)</f>
        <v>33.158999999999999</v>
      </c>
      <c r="H19" s="54">
        <f>HLOOKUP($A19,SumEnc16x256[#All],MAX,FALSE)</f>
        <v>41.776200000000003</v>
      </c>
      <c r="I19" s="54">
        <f>HLOOKUP($A19,SumEnc16x256[#All],MED,FALSE)</f>
        <v>37.652450000000002</v>
      </c>
      <c r="J19" s="47">
        <f>VLOOKUP(SummaryEncryption[[#This Row],[Mode]],EncFileSummary[#All],12,FALSE)</f>
        <v>536870944</v>
      </c>
      <c r="O19" s="49" t="s">
        <v>1</v>
      </c>
      <c r="P19" s="18" t="s">
        <v>13</v>
      </c>
      <c r="Q19" s="47" t="str">
        <f>CONCATENATE(SummaryDecryption[[#This Row],[Mode]],"_",SummaryDecryption[[#This Row],[Key size (B)]])</f>
        <v>CBC_16B</v>
      </c>
      <c r="R19" s="18">
        <v>256000</v>
      </c>
      <c r="S19" s="47">
        <f>SummaryDecryption[[#This Row],[Test Size (KB)]]/SummaryDecryption[[#This Row],[Average (ms)]]/1000</f>
        <v>1.2256104713094643E-2</v>
      </c>
      <c r="T19" s="54">
        <f>HLOOKUP($A19,SumDec16x256[#All],AVG,FALSE)</f>
        <v>20887.55</v>
      </c>
      <c r="U19" s="54">
        <f>HLOOKUP($A19,SumDec16x256[#All],MIN,FALSE)</f>
        <v>17765.2</v>
      </c>
      <c r="V19" s="54">
        <f>HLOOKUP($A19,SumDec16x256[#All],MAX,FALSE)</f>
        <v>24444.7</v>
      </c>
      <c r="W19" s="54">
        <f>HLOOKUP($A19,SumDec16x256[#All],MED,FALSE)</f>
        <v>21103.5</v>
      </c>
      <c r="X19" s="47">
        <f>VLOOKUP(SummaryEncryption[[#This Row],[Mode]],DecFileSummary[#All],12,FALSE)</f>
        <v>268435456</v>
      </c>
    </row>
    <row r="20" spans="1:24" ht="17" thickTop="1" thickBot="1">
      <c r="A20" s="48" t="s">
        <v>3</v>
      </c>
      <c r="B20" s="13" t="s">
        <v>13</v>
      </c>
      <c r="C20" s="47" t="str">
        <f>CONCATENATE(SummaryEncryption[[#This Row],[Mode]],"_",SummaryEncryption[[#This Row],[Key size (B)]])</f>
        <v>CFB_16B</v>
      </c>
      <c r="D20" s="13">
        <v>256000</v>
      </c>
      <c r="E20" s="47">
        <f>SummaryEncryption[[#This Row],[Test Size (KB)]]/SummaryEncryption[[#This Row],[Average (ms)]]/1000</f>
        <v>6.7023567161803275</v>
      </c>
      <c r="F20" s="53">
        <f>HLOOKUP($A20,SumEnc16x256[#All],AVG,FALSE)</f>
        <v>38.195519999999995</v>
      </c>
      <c r="G20" s="53">
        <f>HLOOKUP($A20,SumEnc16x256[#All],MIN,FALSE)</f>
        <v>33.603099999999998</v>
      </c>
      <c r="H20" s="53">
        <f>HLOOKUP($A20,SumEnc16x256[#All],MAX,FALSE)</f>
        <v>40.6218</v>
      </c>
      <c r="I20" s="53">
        <f>HLOOKUP($A20,SumEnc16x256[#All],MED,FALSE)</f>
        <v>39.097049999999996</v>
      </c>
      <c r="J20" s="47">
        <f>VLOOKUP(SummaryEncryption[[#This Row],[Mode]],EncFileSummary[#All],12,FALSE)</f>
        <v>536870912</v>
      </c>
      <c r="O20" s="48" t="s">
        <v>3</v>
      </c>
      <c r="P20" s="13" t="s">
        <v>13</v>
      </c>
      <c r="Q20" s="47" t="str">
        <f>CONCATENATE(SummaryDecryption[[#This Row],[Mode]],"_",SummaryDecryption[[#This Row],[Key size (B)]])</f>
        <v>CFB_16B</v>
      </c>
      <c r="R20" s="13">
        <v>256000</v>
      </c>
      <c r="S20" s="47">
        <f>SummaryDecryption[[#This Row],[Test Size (KB)]]/SummaryDecryption[[#This Row],[Average (ms)]]/1000</f>
        <v>5.7108885004790669E-3</v>
      </c>
      <c r="T20" s="53">
        <f>HLOOKUP($A20,SumDec16x256[#All],AVG,FALSE)</f>
        <v>44826.650000000009</v>
      </c>
      <c r="U20" s="53">
        <f>HLOOKUP($A20,SumDec16x256[#All],MIN,FALSE)</f>
        <v>39332.1</v>
      </c>
      <c r="V20" s="53">
        <f>HLOOKUP($A20,SumDec16x256[#All],MAX,FALSE)</f>
        <v>51986.9</v>
      </c>
      <c r="W20" s="53">
        <f>HLOOKUP($A20,SumDec16x256[#All],MED,FALSE)</f>
        <v>44299.4</v>
      </c>
      <c r="X20" s="47">
        <f>VLOOKUP(SummaryEncryption[[#This Row],[Mode]],DecFileSummary[#All],12,FALSE)</f>
        <v>268435456</v>
      </c>
    </row>
    <row r="21" spans="1:24" ht="17" thickTop="1" thickBot="1">
      <c r="A21" s="49" t="s">
        <v>2</v>
      </c>
      <c r="B21" s="18" t="s">
        <v>13</v>
      </c>
      <c r="C21" s="47" t="str">
        <f>CONCATENATE(SummaryEncryption[[#This Row],[Mode]],"_",SummaryEncryption[[#This Row],[Key size (B)]])</f>
        <v>OFB_16B</v>
      </c>
      <c r="D21" s="18">
        <v>256000</v>
      </c>
      <c r="E21" s="47">
        <f>SummaryEncryption[[#This Row],[Test Size (KB)]]/SummaryEncryption[[#This Row],[Average (ms)]]/1000</f>
        <v>7.1492982935797906</v>
      </c>
      <c r="F21" s="54">
        <f>HLOOKUP($A21,SumEnc16x256[#All],AVG,FALSE)</f>
        <v>35.80771</v>
      </c>
      <c r="G21" s="54">
        <f>HLOOKUP($A21,SumEnc16x256[#All],MIN,FALSE)</f>
        <v>32.4285</v>
      </c>
      <c r="H21" s="54">
        <f>HLOOKUP($A21,SumEnc16x256[#All],MAX,FALSE)</f>
        <v>37.515999999999998</v>
      </c>
      <c r="I21" s="54">
        <f>HLOOKUP($A21,SumEnc16x256[#All],MED,FALSE)</f>
        <v>36.026949999999999</v>
      </c>
      <c r="J21" s="47">
        <f>VLOOKUP(SummaryEncryption[[#This Row],[Mode]],EncFileSummary[#All],12,FALSE)</f>
        <v>536870912</v>
      </c>
      <c r="O21" s="49" t="s">
        <v>2</v>
      </c>
      <c r="P21" s="18" t="s">
        <v>13</v>
      </c>
      <c r="Q21" s="47" t="str">
        <f>CONCATENATE(SummaryDecryption[[#This Row],[Mode]],"_",SummaryDecryption[[#This Row],[Key size (B)]])</f>
        <v>OFB_16B</v>
      </c>
      <c r="R21" s="18">
        <v>256000</v>
      </c>
      <c r="S21" s="47">
        <f>SummaryDecryption[[#This Row],[Test Size (KB)]]/SummaryDecryption[[#This Row],[Average (ms)]]/1000</f>
        <v>5.989779470826382E-3</v>
      </c>
      <c r="T21" s="54">
        <f>HLOOKUP($A21,SumDec16x256[#All],AVG,FALSE)</f>
        <v>42739.469999999994</v>
      </c>
      <c r="U21" s="54">
        <f>HLOOKUP($A21,SumDec16x256[#All],MIN,FALSE)</f>
        <v>37101.800000000003</v>
      </c>
      <c r="V21" s="54">
        <f>HLOOKUP($A21,SumDec16x256[#All],MAX,FALSE)</f>
        <v>49596.6</v>
      </c>
      <c r="W21" s="54">
        <f>HLOOKUP($A21,SumDec16x256[#All],MED,FALSE)</f>
        <v>43845.65</v>
      </c>
      <c r="X21" s="47">
        <f>VLOOKUP(SummaryEncryption[[#This Row],[Mode]],DecFileSummary[#All],12,FALSE)</f>
        <v>268435456</v>
      </c>
    </row>
    <row r="22" spans="1:24" ht="17" thickTop="1" thickBot="1">
      <c r="A22" s="48" t="s">
        <v>4</v>
      </c>
      <c r="B22" s="13" t="s">
        <v>13</v>
      </c>
      <c r="C22" s="47" t="str">
        <f>CONCATENATE(SummaryEncryption[[#This Row],[Mode]],"_",SummaryEncryption[[#This Row],[Key size (B)]])</f>
        <v>CTR_16B</v>
      </c>
      <c r="D22" s="13">
        <v>256000</v>
      </c>
      <c r="E22" s="47">
        <f>SummaryEncryption[[#This Row],[Test Size (KB)]]/SummaryEncryption[[#This Row],[Average (ms)]]/1000</f>
        <v>6.9577166513379449</v>
      </c>
      <c r="F22" s="53">
        <f>HLOOKUP($A22,SumEnc16x256[#All],AVG,FALSE)</f>
        <v>36.793680000000009</v>
      </c>
      <c r="G22" s="53">
        <f>HLOOKUP($A22,SumEnc16x256[#All],MIN,FALSE)</f>
        <v>34.460900000000002</v>
      </c>
      <c r="H22" s="53">
        <f>HLOOKUP($A22,SumEnc16x256[#All],MAX,FALSE)</f>
        <v>42.012300000000003</v>
      </c>
      <c r="I22" s="53">
        <f>HLOOKUP($A22,SumEnc16x256[#All],MED,FALSE)</f>
        <v>36.427399999999999</v>
      </c>
      <c r="J22" s="47">
        <f>VLOOKUP(SummaryEncryption[[#This Row],[Mode]],EncFileSummary[#All],12,FALSE)</f>
        <v>536870912</v>
      </c>
      <c r="O22" s="48" t="s">
        <v>4</v>
      </c>
      <c r="P22" s="13" t="s">
        <v>13</v>
      </c>
      <c r="Q22" s="47" t="str">
        <f>CONCATENATE(SummaryDecryption[[#This Row],[Mode]],"_",SummaryDecryption[[#This Row],[Key size (B)]])</f>
        <v>CTR_16B</v>
      </c>
      <c r="R22" s="13">
        <v>256000</v>
      </c>
      <c r="S22" s="47">
        <f>SummaryDecryption[[#This Row],[Test Size (KB)]]/SummaryDecryption[[#This Row],[Average (ms)]]/1000</f>
        <v>5.9783485699486617E-3</v>
      </c>
      <c r="T22" s="53">
        <f>HLOOKUP($A22,SumDec16x256[#All],AVG,FALSE)</f>
        <v>42821.19000000001</v>
      </c>
      <c r="U22" s="53">
        <f>HLOOKUP($A22,SumDec16x256[#All],MIN,FALSE)</f>
        <v>37510.400000000001</v>
      </c>
      <c r="V22" s="53">
        <f>HLOOKUP($A22,SumDec16x256[#All],MAX,FALSE)</f>
        <v>51647.6</v>
      </c>
      <c r="W22" s="53">
        <f>HLOOKUP($A22,SumDec16x256[#All],MED,FALSE)</f>
        <v>42197.95</v>
      </c>
      <c r="X22" s="47">
        <f>VLOOKUP(SummaryEncryption[[#This Row],[Mode]],DecFileSummary[#All],12,FALSE)</f>
        <v>268435456</v>
      </c>
    </row>
    <row r="23" spans="1:24" ht="17" thickTop="1" thickBot="1">
      <c r="A23" s="49" t="s">
        <v>0</v>
      </c>
      <c r="B23" s="18" t="s">
        <v>15</v>
      </c>
      <c r="C23" s="47" t="str">
        <f>CONCATENATE(SummaryEncryption[[#This Row],[Mode]],"_",SummaryEncryption[[#This Row],[Key size (B)]])</f>
        <v>ECB_24B</v>
      </c>
      <c r="D23" s="47">
        <v>1000</v>
      </c>
      <c r="E23" s="47">
        <f>SummaryEncryption[[#This Row],[Test Size (KB)]]/SummaryEncryption[[#This Row],[Average (ms)]]/1000</f>
        <v>7.5337086375852954E-3</v>
      </c>
      <c r="F23" s="54">
        <f>HLOOKUP($A23,SumEnc24x16[#All],AVG,FALSE)</f>
        <v>132.73675</v>
      </c>
      <c r="G23" s="54">
        <f>HLOOKUP($A23,SumEnc24x16[#All],MIN,FALSE)</f>
        <v>117.348</v>
      </c>
      <c r="H23" s="54">
        <f>HLOOKUP($A23,SumEnc24x16[#All],MAX,FALSE)</f>
        <v>170.76300000000001</v>
      </c>
      <c r="I23" s="54">
        <f>HLOOKUP($A23,SumEnc24x16[#All],MED,FALSE)</f>
        <v>125.2295</v>
      </c>
      <c r="J23" s="47">
        <f>VLOOKUP(SummaryEncryption[[#This Row],[Mode]],EncFileSummary[#All],4,FALSE)</f>
        <v>64</v>
      </c>
      <c r="O23" s="49" t="s">
        <v>0</v>
      </c>
      <c r="P23" s="18" t="s">
        <v>15</v>
      </c>
      <c r="Q23" s="47" t="str">
        <f>CONCATENATE(SummaryDecryption[[#This Row],[Mode]],"_",SummaryDecryption[[#This Row],[Key size (B)]])</f>
        <v>ECB_24B</v>
      </c>
      <c r="R23" s="47">
        <v>1000</v>
      </c>
      <c r="S23" s="47">
        <f>SummaryDecryption[[#This Row],[Test Size (KB)]]/SummaryDecryption[[#This Row],[Average (ms)]]/1000</f>
        <v>1.4568414366496144E-2</v>
      </c>
      <c r="T23" s="54">
        <f>HLOOKUP($A23,SumDec24x16[#All],AVG,FALSE)</f>
        <v>68.641649999999998</v>
      </c>
      <c r="U23" s="54">
        <f>HLOOKUP($A23,SumDec24x16[#All],MIN,FALSE)</f>
        <v>64.001999999999995</v>
      </c>
      <c r="V23" s="54">
        <f>HLOOKUP($A23,SumDec24x16[#All],MAX,FALSE)</f>
        <v>85.427000000000007</v>
      </c>
      <c r="W23" s="54">
        <f>HLOOKUP($A23,SumDec24x16[#All],MED,FALSE)</f>
        <v>65.02600000000001</v>
      </c>
      <c r="X23" s="47">
        <f>VLOOKUP(SummaryEncryption[[#This Row],[Mode]],DecFileSummary[#All],4,FALSE)</f>
        <v>16</v>
      </c>
    </row>
    <row r="24" spans="1:24" ht="17" thickTop="1" thickBot="1">
      <c r="A24" s="48" t="s">
        <v>1</v>
      </c>
      <c r="B24" s="13" t="s">
        <v>15</v>
      </c>
      <c r="C24" s="47" t="str">
        <f>CONCATENATE(SummaryEncryption[[#This Row],[Mode]],"_",SummaryEncryption[[#This Row],[Key size (B)]])</f>
        <v>CBC_24B</v>
      </c>
      <c r="D24" s="47">
        <v>1000</v>
      </c>
      <c r="E24" s="47">
        <f>SummaryEncryption[[#This Row],[Test Size (KB)]]/SummaryEncryption[[#This Row],[Average (ms)]]/1000</f>
        <v>7.630826708503947</v>
      </c>
      <c r="F24" s="53">
        <f>HLOOKUP($A24,SumEnc24x16[#All],AVG,FALSE)</f>
        <v>0.13104739999999998</v>
      </c>
      <c r="G24" s="53">
        <f>HLOOKUP($A24,SumEnc24x16[#All],MIN,FALSE)</f>
        <v>0.11752899999999999</v>
      </c>
      <c r="H24" s="53">
        <f>HLOOKUP($A24,SumEnc24x16[#All],MAX,FALSE)</f>
        <v>0.173041</v>
      </c>
      <c r="I24" s="53">
        <f>HLOOKUP($A24,SumEnc24x16[#All],MED,FALSE)</f>
        <v>0.124113</v>
      </c>
      <c r="J24" s="47">
        <f>VLOOKUP(SummaryEncryption[[#This Row],[Mode]],EncFileSummary[#All],4,FALSE)</f>
        <v>64</v>
      </c>
      <c r="O24" s="48" t="s">
        <v>1</v>
      </c>
      <c r="P24" s="13" t="s">
        <v>15</v>
      </c>
      <c r="Q24" s="47" t="str">
        <f>CONCATENATE(SummaryDecryption[[#This Row],[Mode]],"_",SummaryDecryption[[#This Row],[Key size (B)]])</f>
        <v>CBC_24B</v>
      </c>
      <c r="R24" s="47">
        <v>1000</v>
      </c>
      <c r="S24" s="47">
        <f>SummaryDecryption[[#This Row],[Test Size (KB)]]/SummaryDecryption[[#This Row],[Average (ms)]]/1000</f>
        <v>1.5119637914911215E-2</v>
      </c>
      <c r="T24" s="53">
        <f>HLOOKUP($A24,SumDec24x16[#All],AVG,FALSE)</f>
        <v>66.139150000000001</v>
      </c>
      <c r="U24" s="53">
        <f>HLOOKUP($A24,SumDec24x16[#All],MIN,FALSE)</f>
        <v>65.087999999999994</v>
      </c>
      <c r="V24" s="53">
        <f>HLOOKUP($A24,SumDec24x16[#All],MAX,FALSE)</f>
        <v>70.358999999999995</v>
      </c>
      <c r="W24" s="53">
        <f>HLOOKUP($A24,SumDec24x16[#All],MED,FALSE)</f>
        <v>65.579499999999996</v>
      </c>
      <c r="X24" s="47">
        <f>VLOOKUP(SummaryEncryption[[#This Row],[Mode]],DecFileSummary[#All],4,FALSE)</f>
        <v>16</v>
      </c>
    </row>
    <row r="25" spans="1:24" ht="17" thickTop="1" thickBot="1">
      <c r="A25" s="49" t="s">
        <v>3</v>
      </c>
      <c r="B25" s="18" t="s">
        <v>15</v>
      </c>
      <c r="C25" s="47" t="str">
        <f>CONCATENATE(SummaryEncryption[[#This Row],[Mode]],"_",SummaryEncryption[[#This Row],[Key size (B)]])</f>
        <v>CFB_24B</v>
      </c>
      <c r="D25" s="47">
        <v>1000</v>
      </c>
      <c r="E25" s="47">
        <f>SummaryEncryption[[#This Row],[Test Size (KB)]]/SummaryEncryption[[#This Row],[Average (ms)]]/1000</f>
        <v>7.8241414667370313</v>
      </c>
      <c r="F25" s="54">
        <f>HLOOKUP($A25,SumEnc24x16[#All],AVG,FALSE)</f>
        <v>0.12780955000000002</v>
      </c>
      <c r="G25" s="54">
        <f>HLOOKUP($A25,SumEnc24x16[#All],MIN,FALSE)</f>
        <v>0.11813800000000001</v>
      </c>
      <c r="H25" s="54">
        <f>HLOOKUP($A25,SumEnc24x16[#All],MAX,FALSE)</f>
        <v>0.14277999999999999</v>
      </c>
      <c r="I25" s="54">
        <f>HLOOKUP($A25,SumEnc24x16[#All],MED,FALSE)</f>
        <v>0.12607950000000001</v>
      </c>
      <c r="J25" s="47">
        <f>VLOOKUP(SummaryEncryption[[#This Row],[Mode]],EncFileSummary[#All],4,FALSE)</f>
        <v>32</v>
      </c>
      <c r="O25" s="49" t="s">
        <v>3</v>
      </c>
      <c r="P25" s="18" t="s">
        <v>15</v>
      </c>
      <c r="Q25" s="47" t="str">
        <f>CONCATENATE(SummaryDecryption[[#This Row],[Mode]],"_",SummaryDecryption[[#This Row],[Key size (B)]])</f>
        <v>CFB_24B</v>
      </c>
      <c r="R25" s="47">
        <v>1000</v>
      </c>
      <c r="S25" s="47">
        <f>SummaryDecryption[[#This Row],[Test Size (KB)]]/SummaryDecryption[[#This Row],[Average (ms)]]/1000</f>
        <v>6.4673306028263534E-3</v>
      </c>
      <c r="T25" s="54">
        <f>HLOOKUP($A25,SumDec24x16[#All],AVG,FALSE)</f>
        <v>154.62329999999997</v>
      </c>
      <c r="U25" s="54">
        <f>HLOOKUP($A25,SumDec24x16[#All],MIN,FALSE)</f>
        <v>146.31299999999999</v>
      </c>
      <c r="V25" s="54">
        <f>HLOOKUP($A25,SumDec24x16[#All],MAX,FALSE)</f>
        <v>220.245</v>
      </c>
      <c r="W25" s="54">
        <f>HLOOKUP($A25,SumDec24x16[#All],MED,FALSE)</f>
        <v>147.51900000000001</v>
      </c>
      <c r="X25" s="47">
        <f>VLOOKUP(SummaryEncryption[[#This Row],[Mode]],DecFileSummary[#All],4,FALSE)</f>
        <v>16</v>
      </c>
    </row>
    <row r="26" spans="1:24" ht="17" thickTop="1" thickBot="1">
      <c r="A26" s="48" t="s">
        <v>2</v>
      </c>
      <c r="B26" s="13" t="s">
        <v>15</v>
      </c>
      <c r="C26" s="47" t="str">
        <f>CONCATENATE(SummaryEncryption[[#This Row],[Mode]],"_",SummaryEncryption[[#This Row],[Key size (B)]])</f>
        <v>OFB_24B</v>
      </c>
      <c r="D26" s="47">
        <v>1000</v>
      </c>
      <c r="E26" s="47">
        <f>SummaryEncryption[[#This Row],[Test Size (KB)]]/SummaryEncryption[[#This Row],[Average (ms)]]/1000</f>
        <v>7.8973658336261927</v>
      </c>
      <c r="F26" s="53">
        <f>HLOOKUP($A26,SumEnc24x16[#All],AVG,FALSE)</f>
        <v>0.12662450000000003</v>
      </c>
      <c r="G26" s="53">
        <f>HLOOKUP($A26,SumEnc24x16[#All],MIN,FALSE)</f>
        <v>0.11878</v>
      </c>
      <c r="H26" s="53">
        <f>HLOOKUP($A26,SumEnc24x16[#All],MAX,FALSE)</f>
        <v>0.16004399999999999</v>
      </c>
      <c r="I26" s="53">
        <f>HLOOKUP($A26,SumEnc24x16[#All],MED,FALSE)</f>
        <v>0.1225005</v>
      </c>
      <c r="J26" s="47">
        <f>VLOOKUP(SummaryEncryption[[#This Row],[Mode]],EncFileSummary[#All],4,FALSE)</f>
        <v>32</v>
      </c>
      <c r="O26" s="48" t="s">
        <v>2</v>
      </c>
      <c r="P26" s="13" t="s">
        <v>15</v>
      </c>
      <c r="Q26" s="47" t="str">
        <f>CONCATENATE(SummaryDecryption[[#This Row],[Mode]],"_",SummaryDecryption[[#This Row],[Key size (B)]])</f>
        <v>OFB_24B</v>
      </c>
      <c r="R26" s="47">
        <v>1000</v>
      </c>
      <c r="S26" s="47">
        <f>SummaryDecryption[[#This Row],[Test Size (KB)]]/SummaryDecryption[[#This Row],[Average (ms)]]/1000</f>
        <v>7.0891140627819043E-3</v>
      </c>
      <c r="T26" s="53">
        <f>HLOOKUP($A26,SumDec24x16[#All],AVG,FALSE)</f>
        <v>141.06134999999998</v>
      </c>
      <c r="U26" s="53">
        <f>HLOOKUP($A26,SumDec24x16[#All],MIN,FALSE)</f>
        <v>137.93</v>
      </c>
      <c r="V26" s="53">
        <f>HLOOKUP($A26,SumDec24x16[#All],MAX,FALSE)</f>
        <v>157.56700000000001</v>
      </c>
      <c r="W26" s="53">
        <f>HLOOKUP($A26,SumDec24x16[#All],MED,FALSE)</f>
        <v>138.57549999999998</v>
      </c>
      <c r="X26" s="47">
        <f>VLOOKUP(SummaryEncryption[[#This Row],[Mode]],DecFileSummary[#All],4,FALSE)</f>
        <v>16</v>
      </c>
    </row>
    <row r="27" spans="1:24" ht="17" thickTop="1" thickBot="1">
      <c r="A27" s="49" t="s">
        <v>4</v>
      </c>
      <c r="B27" s="18" t="s">
        <v>15</v>
      </c>
      <c r="C27" s="47" t="str">
        <f>CONCATENATE(SummaryEncryption[[#This Row],[Mode]],"_",SummaryEncryption[[#This Row],[Key size (B)]])</f>
        <v>CTR_24B</v>
      </c>
      <c r="D27" s="47">
        <v>1000</v>
      </c>
      <c r="E27" s="47">
        <f>SummaryEncryption[[#This Row],[Test Size (KB)]]/SummaryEncryption[[#This Row],[Average (ms)]]/1000</f>
        <v>7.7933150502162283</v>
      </c>
      <c r="F27" s="54">
        <f>HLOOKUP($A27,SumEnc24x16[#All],AVG,FALSE)</f>
        <v>0.12831509999999996</v>
      </c>
      <c r="G27" s="54">
        <f>HLOOKUP($A27,SumEnc24x16[#All],MIN,FALSE)</f>
        <v>0.11709899999999999</v>
      </c>
      <c r="H27" s="54">
        <f>HLOOKUP($A27,SumEnc24x16[#All],MAX,FALSE)</f>
        <v>0.155164</v>
      </c>
      <c r="I27" s="54">
        <f>HLOOKUP($A27,SumEnc24x16[#All],MED,FALSE)</f>
        <v>0.12345049999999999</v>
      </c>
      <c r="J27" s="47">
        <f>VLOOKUP(SummaryEncryption[[#This Row],[Mode]],EncFileSummary[#All],4,FALSE)</f>
        <v>32</v>
      </c>
      <c r="O27" s="49" t="s">
        <v>4</v>
      </c>
      <c r="P27" s="18" t="s">
        <v>15</v>
      </c>
      <c r="Q27" s="47" t="str">
        <f>CONCATENATE(SummaryDecryption[[#This Row],[Mode]],"_",SummaryDecryption[[#This Row],[Key size (B)]])</f>
        <v>CTR_24B</v>
      </c>
      <c r="R27" s="47">
        <v>1000</v>
      </c>
      <c r="S27" s="47">
        <f>SummaryDecryption[[#This Row],[Test Size (KB)]]/SummaryDecryption[[#This Row],[Average (ms)]]/1000</f>
        <v>7.0475267585781605E-3</v>
      </c>
      <c r="T27" s="54">
        <f>HLOOKUP($A27,SumDec24x16[#All],AVG,FALSE)</f>
        <v>141.89375000000001</v>
      </c>
      <c r="U27" s="54">
        <f>HLOOKUP($A27,SumDec24x16[#All],MIN,FALSE)</f>
        <v>139.78399999999999</v>
      </c>
      <c r="V27" s="54">
        <f>HLOOKUP($A27,SumDec24x16[#All],MAX,FALSE)</f>
        <v>148.262</v>
      </c>
      <c r="W27" s="54">
        <f>HLOOKUP($A27,SumDec24x16[#All],MED,FALSE)</f>
        <v>140.43549999999999</v>
      </c>
      <c r="X27" s="47">
        <f>VLOOKUP(SummaryEncryption[[#This Row],[Mode]],DecFileSummary[#All],4,FALSE)</f>
        <v>16</v>
      </c>
    </row>
    <row r="28" spans="1:24" ht="17" thickTop="1" thickBot="1">
      <c r="A28" s="48" t="s">
        <v>0</v>
      </c>
      <c r="B28" s="13" t="s">
        <v>15</v>
      </c>
      <c r="C28" s="47" t="str">
        <f>CONCATENATE(SummaryEncryption[[#This Row],[Mode]],"_",SummaryEncryption[[#This Row],[Key size (B)]])</f>
        <v>ECB_24B</v>
      </c>
      <c r="D28" s="13">
        <v>5000</v>
      </c>
      <c r="E28" s="47">
        <f>SummaryEncryption[[#This Row],[Test Size (KB)]]/SummaryEncryption[[#This Row],[Average (ms)]]/1000</f>
        <v>8.0693837895762909E-3</v>
      </c>
      <c r="F28" s="53">
        <f>HLOOKUP($A28,SumEnc24x32[#All],AVG,FALSE)</f>
        <v>619.62600000000009</v>
      </c>
      <c r="G28" s="53">
        <f>HLOOKUP($A28,SumEnc24x32[#All],MIN,FALSE)</f>
        <v>586.35299999999995</v>
      </c>
      <c r="H28" s="53">
        <f>HLOOKUP($A28,SumEnc24x32[#All],MAX,FALSE)</f>
        <v>664.32600000000002</v>
      </c>
      <c r="I28" s="53">
        <f>HLOOKUP($A28,SumEnc24x32[#All],MED,FALSE)</f>
        <v>617.02099999999996</v>
      </c>
      <c r="J28" s="47">
        <f>VLOOKUP(SummaryEncryption[[#This Row],[Mode]],EncFileSummary[#All],7,FALSE)</f>
        <v>96</v>
      </c>
      <c r="O28" s="48" t="s">
        <v>0</v>
      </c>
      <c r="P28" s="13" t="s">
        <v>15</v>
      </c>
      <c r="Q28" s="47" t="str">
        <f>CONCATENATE(SummaryDecryption[[#This Row],[Mode]],"_",SummaryDecryption[[#This Row],[Key size (B)]])</f>
        <v>ECB_24B</v>
      </c>
      <c r="R28" s="13">
        <v>5000</v>
      </c>
      <c r="S28" s="47">
        <f>SummaryDecryption[[#This Row],[Test Size (KB)]]/SummaryDecryption[[#This Row],[Average (ms)]]/1000</f>
        <v>1.3846842566800282E-2</v>
      </c>
      <c r="T28" s="53">
        <f>HLOOKUP($A28,SumDec24x32[#All],AVG,FALSE)</f>
        <v>361.09315000000004</v>
      </c>
      <c r="U28" s="53">
        <f>HLOOKUP($A28,SumDec24x32[#All],MIN,FALSE)</f>
        <v>332.827</v>
      </c>
      <c r="V28" s="53">
        <f>HLOOKUP($A28,SumDec24x32[#All],MAX,FALSE)</f>
        <v>416.58499999999998</v>
      </c>
      <c r="W28" s="53">
        <f>HLOOKUP($A28,SumDec24x32[#All],MED,FALSE)</f>
        <v>344.88800000000003</v>
      </c>
      <c r="X28" s="47">
        <f>VLOOKUP(SummaryEncryption[[#This Row],[Mode]],DecFileSummary[#All],7,FALSE)</f>
        <v>32</v>
      </c>
    </row>
    <row r="29" spans="1:24" ht="17" thickTop="1" thickBot="1">
      <c r="A29" s="49" t="s">
        <v>1</v>
      </c>
      <c r="B29" s="18" t="s">
        <v>15</v>
      </c>
      <c r="C29" s="47" t="str">
        <f>CONCATENATE(SummaryEncryption[[#This Row],[Mode]],"_",SummaryEncryption[[#This Row],[Key size (B)]])</f>
        <v>CBC_24B</v>
      </c>
      <c r="D29" s="13">
        <v>5000</v>
      </c>
      <c r="E29" s="47">
        <f>SummaryEncryption[[#This Row],[Test Size (KB)]]/SummaryEncryption[[#This Row],[Average (ms)]]/1000</f>
        <v>8.1925639210462915</v>
      </c>
      <c r="F29" s="54">
        <f>HLOOKUP($A29,SumEnc24x32[#All],AVG,FALSE)</f>
        <v>0.6103095500000002</v>
      </c>
      <c r="G29" s="54">
        <f>HLOOKUP($A29,SumEnc24x32[#All],MIN,FALSE)</f>
        <v>0.581708</v>
      </c>
      <c r="H29" s="54">
        <f>HLOOKUP($A29,SumEnc24x32[#All],MAX,FALSE)</f>
        <v>0.65700199999999997</v>
      </c>
      <c r="I29" s="54">
        <f>HLOOKUP($A29,SumEnc24x32[#All],MED,FALSE)</f>
        <v>0.60206000000000004</v>
      </c>
      <c r="J29" s="47">
        <f>VLOOKUP(SummaryEncryption[[#This Row],[Mode]],EncFileSummary[#All],7,FALSE)</f>
        <v>96</v>
      </c>
      <c r="O29" s="49" t="s">
        <v>1</v>
      </c>
      <c r="P29" s="18" t="s">
        <v>15</v>
      </c>
      <c r="Q29" s="47" t="str">
        <f>CONCATENATE(SummaryDecryption[[#This Row],[Mode]],"_",SummaryDecryption[[#This Row],[Key size (B)]])</f>
        <v>CBC_24B</v>
      </c>
      <c r="R29" s="13">
        <v>5000</v>
      </c>
      <c r="S29" s="47">
        <f>SummaryDecryption[[#This Row],[Test Size (KB)]]/SummaryDecryption[[#This Row],[Average (ms)]]/1000</f>
        <v>1.4014248286232611E-2</v>
      </c>
      <c r="T29" s="54">
        <f>HLOOKUP($A29,SumDec24x32[#All],AVG,FALSE)</f>
        <v>356.77975000000004</v>
      </c>
      <c r="U29" s="54">
        <f>HLOOKUP($A29,SumDec24x32[#All],MIN,FALSE)</f>
        <v>323.90300000000002</v>
      </c>
      <c r="V29" s="54">
        <f>HLOOKUP($A29,SumDec24x32[#All],MAX,FALSE)</f>
        <v>406.51</v>
      </c>
      <c r="W29" s="54">
        <f>HLOOKUP($A29,SumDec24x32[#All],MED,FALSE)</f>
        <v>351.18799999999999</v>
      </c>
      <c r="X29" s="47">
        <f>VLOOKUP(SummaryEncryption[[#This Row],[Mode]],DecFileSummary[#All],7,FALSE)</f>
        <v>32</v>
      </c>
    </row>
    <row r="30" spans="1:24" ht="17" thickTop="1" thickBot="1">
      <c r="A30" s="48" t="s">
        <v>3</v>
      </c>
      <c r="B30" s="13" t="s">
        <v>15</v>
      </c>
      <c r="C30" s="47" t="str">
        <f>CONCATENATE(SummaryEncryption[[#This Row],[Mode]],"_",SummaryEncryption[[#This Row],[Key size (B)]])</f>
        <v>CFB_24B</v>
      </c>
      <c r="D30" s="13">
        <v>5000</v>
      </c>
      <c r="E30" s="47">
        <f>SummaryEncryption[[#This Row],[Test Size (KB)]]/SummaryEncryption[[#This Row],[Average (ms)]]/1000</f>
        <v>8.1674316963812803</v>
      </c>
      <c r="F30" s="53">
        <f>HLOOKUP($A30,SumEnc24x32[#All],AVG,FALSE)</f>
        <v>0.61218755000000002</v>
      </c>
      <c r="G30" s="53">
        <f>HLOOKUP($A30,SumEnc24x32[#All],MIN,FALSE)</f>
        <v>0.58688399999999996</v>
      </c>
      <c r="H30" s="53">
        <f>HLOOKUP($A30,SumEnc24x32[#All],MAX,FALSE)</f>
        <v>0.71741100000000002</v>
      </c>
      <c r="I30" s="53">
        <f>HLOOKUP($A30,SumEnc24x32[#All],MED,FALSE)</f>
        <v>0.60349950000000008</v>
      </c>
      <c r="J30" s="47">
        <f>VLOOKUP(SummaryEncryption[[#This Row],[Mode]],EncFileSummary[#All],7,FALSE)</f>
        <v>64</v>
      </c>
      <c r="O30" s="48" t="s">
        <v>3</v>
      </c>
      <c r="P30" s="13" t="s">
        <v>15</v>
      </c>
      <c r="Q30" s="47" t="str">
        <f>CONCATENATE(SummaryDecryption[[#This Row],[Mode]],"_",SummaryDecryption[[#This Row],[Key size (B)]])</f>
        <v>CFB_24B</v>
      </c>
      <c r="R30" s="13">
        <v>5000</v>
      </c>
      <c r="S30" s="47">
        <f>SummaryDecryption[[#This Row],[Test Size (KB)]]/SummaryDecryption[[#This Row],[Average (ms)]]/1000</f>
        <v>4.7680937475891323E-3</v>
      </c>
      <c r="T30" s="53">
        <f>HLOOKUP($A30,SumDec24x32[#All],AVG,FALSE)</f>
        <v>1048.6371000000001</v>
      </c>
      <c r="U30" s="53">
        <f>HLOOKUP($A30,SumDec24x32[#All],MIN,FALSE)</f>
        <v>941.875</v>
      </c>
      <c r="V30" s="53">
        <f>HLOOKUP($A30,SumDec24x32[#All],MAX,FALSE)</f>
        <v>1252.43</v>
      </c>
      <c r="W30" s="53">
        <f>HLOOKUP($A30,SumDec24x32[#All],MED,FALSE)</f>
        <v>1029.19</v>
      </c>
      <c r="X30" s="47">
        <f>VLOOKUP(SummaryEncryption[[#This Row],[Mode]],DecFileSummary[#All],7,FALSE)</f>
        <v>32</v>
      </c>
    </row>
    <row r="31" spans="1:24" ht="17" thickTop="1" thickBot="1">
      <c r="A31" s="49" t="s">
        <v>2</v>
      </c>
      <c r="B31" s="18" t="s">
        <v>15</v>
      </c>
      <c r="C31" s="47" t="str">
        <f>CONCATENATE(SummaryEncryption[[#This Row],[Mode]],"_",SummaryEncryption[[#This Row],[Key size (B)]])</f>
        <v>OFB_24B</v>
      </c>
      <c r="D31" s="13">
        <v>5000</v>
      </c>
      <c r="E31" s="47">
        <f>SummaryEncryption[[#This Row],[Test Size (KB)]]/SummaryEncryption[[#This Row],[Average (ms)]]/1000</f>
        <v>8.1403878259848845</v>
      </c>
      <c r="F31" s="54">
        <f>HLOOKUP($A31,SumEnc24x32[#All],AVG,FALSE)</f>
        <v>0.61422134999999989</v>
      </c>
      <c r="G31" s="54">
        <f>HLOOKUP($A31,SumEnc24x32[#All],MIN,FALSE)</f>
        <v>0.58989499999999995</v>
      </c>
      <c r="H31" s="54">
        <f>HLOOKUP($A31,SumEnc24x32[#All],MAX,FALSE)</f>
        <v>0.66607899999999998</v>
      </c>
      <c r="I31" s="54">
        <f>HLOOKUP($A31,SumEnc24x32[#All],MED,FALSE)</f>
        <v>0.60509799999999991</v>
      </c>
      <c r="J31" s="47">
        <f>VLOOKUP(SummaryEncryption[[#This Row],[Mode]],EncFileSummary[#All],7,FALSE)</f>
        <v>64</v>
      </c>
      <c r="O31" s="49" t="s">
        <v>2</v>
      </c>
      <c r="P31" s="18" t="s">
        <v>15</v>
      </c>
      <c r="Q31" s="47" t="str">
        <f>CONCATENATE(SummaryDecryption[[#This Row],[Mode]],"_",SummaryDecryption[[#This Row],[Key size (B)]])</f>
        <v>OFB_24B</v>
      </c>
      <c r="R31" s="13">
        <v>5000</v>
      </c>
      <c r="S31" s="47">
        <f>SummaryDecryption[[#This Row],[Test Size (KB)]]/SummaryDecryption[[#This Row],[Average (ms)]]/1000</f>
        <v>6.4358633076694698E-3</v>
      </c>
      <c r="T31" s="54">
        <f>HLOOKUP($A31,SumDec24x32[#All],AVG,FALSE)</f>
        <v>776.89655000000005</v>
      </c>
      <c r="U31" s="54">
        <f>HLOOKUP($A31,SumDec24x32[#All],MIN,FALSE)</f>
        <v>713.87699999999995</v>
      </c>
      <c r="V31" s="54">
        <f>HLOOKUP($A31,SumDec24x32[#All],MAX,FALSE)</f>
        <v>874.63699999999994</v>
      </c>
      <c r="W31" s="54">
        <f>HLOOKUP($A31,SumDec24x32[#All],MED,FALSE)</f>
        <v>771.70849999999996</v>
      </c>
      <c r="X31" s="47">
        <f>VLOOKUP(SummaryEncryption[[#This Row],[Mode]],DecFileSummary[#All],7,FALSE)</f>
        <v>32</v>
      </c>
    </row>
    <row r="32" spans="1:24" ht="17" thickTop="1" thickBot="1">
      <c r="A32" s="48" t="s">
        <v>4</v>
      </c>
      <c r="B32" s="13" t="s">
        <v>15</v>
      </c>
      <c r="C32" s="47" t="str">
        <f>CONCATENATE(SummaryEncryption[[#This Row],[Mode]],"_",SummaryEncryption[[#This Row],[Key size (B)]])</f>
        <v>CTR_24B</v>
      </c>
      <c r="D32" s="13">
        <v>5000</v>
      </c>
      <c r="E32" s="47">
        <f>SummaryEncryption[[#This Row],[Test Size (KB)]]/SummaryEncryption[[#This Row],[Average (ms)]]/1000</f>
        <v>7.9810313232334451</v>
      </c>
      <c r="F32" s="53">
        <f>HLOOKUP($A32,SumEnc24x32[#All],AVG,FALSE)</f>
        <v>0.62648545</v>
      </c>
      <c r="G32" s="53">
        <f>HLOOKUP($A32,SumEnc24x32[#All],MIN,FALSE)</f>
        <v>0.57643500000000003</v>
      </c>
      <c r="H32" s="53">
        <f>HLOOKUP($A32,SumEnc24x32[#All],MAX,FALSE)</f>
        <v>0.74501899999999999</v>
      </c>
      <c r="I32" s="53">
        <f>HLOOKUP($A32,SumEnc24x32[#All],MED,FALSE)</f>
        <v>0.60627399999999998</v>
      </c>
      <c r="J32" s="47">
        <f>VLOOKUP(SummaryEncryption[[#This Row],[Mode]],EncFileSummary[#All],7,FALSE)</f>
        <v>64</v>
      </c>
      <c r="O32" s="48" t="s">
        <v>4</v>
      </c>
      <c r="P32" s="13" t="s">
        <v>15</v>
      </c>
      <c r="Q32" s="47" t="str">
        <f>CONCATENATE(SummaryDecryption[[#This Row],[Mode]],"_",SummaryDecryption[[#This Row],[Key size (B)]])</f>
        <v>CTR_24B</v>
      </c>
      <c r="R32" s="13">
        <v>5000</v>
      </c>
      <c r="S32" s="47">
        <f>SummaryDecryption[[#This Row],[Test Size (KB)]]/SummaryDecryption[[#This Row],[Average (ms)]]/1000</f>
        <v>6.3887076270563821E-3</v>
      </c>
      <c r="T32" s="53">
        <f>HLOOKUP($A32,SumDec24x32[#All],AVG,FALSE)</f>
        <v>782.63089999999988</v>
      </c>
      <c r="U32" s="53">
        <f>HLOOKUP($A32,SumDec24x32[#All],MIN,FALSE)</f>
        <v>719.55600000000004</v>
      </c>
      <c r="V32" s="53">
        <f>HLOOKUP($A32,SumDec24x32[#All],MAX,FALSE)</f>
        <v>888.37</v>
      </c>
      <c r="W32" s="53">
        <f>HLOOKUP($A32,SumDec24x32[#All],MED,FALSE)</f>
        <v>763.60300000000007</v>
      </c>
      <c r="X32" s="47">
        <f>VLOOKUP(SummaryEncryption[[#This Row],[Mode]],DecFileSummary[#All],7,FALSE)</f>
        <v>32</v>
      </c>
    </row>
    <row r="33" spans="1:24" ht="17" thickTop="1" thickBot="1">
      <c r="A33" s="49" t="s">
        <v>0</v>
      </c>
      <c r="B33" s="18" t="s">
        <v>15</v>
      </c>
      <c r="C33" s="47" t="str">
        <f>CONCATENATE(SummaryEncryption[[#This Row],[Mode]],"_",SummaryEncryption[[#This Row],[Key size (B)]])</f>
        <v>ECB_24B</v>
      </c>
      <c r="D33" s="18">
        <v>10000</v>
      </c>
      <c r="E33" s="47">
        <f>SummaryEncryption[[#This Row],[Test Size (KB)]]/SummaryEncryption[[#This Row],[Average (ms)]]/1000</f>
        <v>6.647605765069624E-3</v>
      </c>
      <c r="F33" s="54">
        <f>HLOOKUP($A33,SumEnc24x10[#All],AVG,FALSE)</f>
        <v>1504.3009999999999</v>
      </c>
      <c r="G33" s="54">
        <f>HLOOKUP($A33,SumEnc24x10[#All],MIN,FALSE)</f>
        <v>1188.31</v>
      </c>
      <c r="H33" s="54">
        <f>HLOOKUP($A33,SumEnc24x10[#All],MAX,FALSE)</f>
        <v>2153.2199999999998</v>
      </c>
      <c r="I33" s="54">
        <f>HLOOKUP($A33,SumEnc24x10[#All],MED,FALSE)</f>
        <v>1502.075</v>
      </c>
      <c r="J33" s="47">
        <f>VLOOKUP(SummaryEncryption[[#This Row],[Mode]],EncFileSummary[#All],10,FALSE)</f>
        <v>20971552</v>
      </c>
      <c r="O33" s="49" t="s">
        <v>0</v>
      </c>
      <c r="P33" s="18" t="s">
        <v>15</v>
      </c>
      <c r="Q33" s="47" t="str">
        <f>CONCATENATE(SummaryDecryption[[#This Row],[Mode]],"_",SummaryDecryption[[#This Row],[Key size (B)]])</f>
        <v>ECB_24B</v>
      </c>
      <c r="R33" s="18">
        <v>10000</v>
      </c>
      <c r="S33" s="47">
        <f>SummaryDecryption[[#This Row],[Test Size (KB)]]/SummaryDecryption[[#This Row],[Average (ms)]]/1000</f>
        <v>1.11611913768189E-2</v>
      </c>
      <c r="T33" s="54">
        <f>HLOOKUP($A33,SumDec24x10[#All],AVG,FALSE)</f>
        <v>895.96169999999984</v>
      </c>
      <c r="U33" s="54">
        <f>HLOOKUP($A33,SumDec24x10[#All],MIN,FALSE)</f>
        <v>728.69100000000003</v>
      </c>
      <c r="V33" s="54">
        <f>HLOOKUP($A33,SumDec24x10[#All],MAX,FALSE)</f>
        <v>1141.33</v>
      </c>
      <c r="W33" s="54">
        <f>HLOOKUP($A33,SumDec24x10[#All],MED,FALSE)</f>
        <v>892.54899999999998</v>
      </c>
      <c r="X33" s="47">
        <f>VLOOKUP(SummaryEncryption[[#This Row],[Mode]],DecFileSummary[#All],10,FALSE)</f>
        <v>10485760</v>
      </c>
    </row>
    <row r="34" spans="1:24" ht="17" thickTop="1" thickBot="1">
      <c r="A34" s="48" t="s">
        <v>1</v>
      </c>
      <c r="B34" s="13" t="s">
        <v>15</v>
      </c>
      <c r="C34" s="47" t="str">
        <f>CONCATENATE(SummaryEncryption[[#This Row],[Mode]],"_",SummaryEncryption[[#This Row],[Key size (B)]])</f>
        <v>CBC_24B</v>
      </c>
      <c r="D34" s="13">
        <v>10000</v>
      </c>
      <c r="E34" s="47">
        <f>SummaryEncryption[[#This Row],[Test Size (KB)]]/SummaryEncryption[[#This Row],[Average (ms)]]/1000</f>
        <v>6.2776136530563829</v>
      </c>
      <c r="F34" s="53">
        <f>HLOOKUP($A34,SumEnc24x10[#All],AVG,FALSE)</f>
        <v>1.5929619999999998</v>
      </c>
      <c r="G34" s="53">
        <f>HLOOKUP($A34,SumEnc24x10[#All],MIN,FALSE)</f>
        <v>1.2234100000000001</v>
      </c>
      <c r="H34" s="53">
        <f>HLOOKUP($A34,SumEnc24x10[#All],MAX,FALSE)</f>
        <v>3.05484</v>
      </c>
      <c r="I34" s="53">
        <f>HLOOKUP($A34,SumEnc24x10[#All],MED,FALSE)</f>
        <v>1.329275</v>
      </c>
      <c r="J34" s="47">
        <f>VLOOKUP(SummaryEncryption[[#This Row],[Mode]],EncFileSummary[#All],10,FALSE)</f>
        <v>20971552</v>
      </c>
      <c r="O34" s="48" t="s">
        <v>1</v>
      </c>
      <c r="P34" s="13" t="s">
        <v>15</v>
      </c>
      <c r="Q34" s="47" t="str">
        <f>CONCATENATE(SummaryDecryption[[#This Row],[Mode]],"_",SummaryDecryption[[#This Row],[Key size (B)]])</f>
        <v>CBC_24B</v>
      </c>
      <c r="R34" s="13">
        <v>10000</v>
      </c>
      <c r="S34" s="47">
        <f>SummaryDecryption[[#This Row],[Test Size (KB)]]/SummaryDecryption[[#This Row],[Average (ms)]]/1000</f>
        <v>1.0529189704095023E-2</v>
      </c>
      <c r="T34" s="53">
        <f>HLOOKUP($A34,SumDec24x10[#All],AVG,FALSE)</f>
        <v>949.74070000000006</v>
      </c>
      <c r="U34" s="53">
        <f>HLOOKUP($A34,SumDec24x10[#All],MIN,FALSE)</f>
        <v>787.38900000000001</v>
      </c>
      <c r="V34" s="53">
        <f>HLOOKUP($A34,SumDec24x10[#All],MAX,FALSE)</f>
        <v>1137.46</v>
      </c>
      <c r="W34" s="53">
        <f>HLOOKUP($A34,SumDec24x10[#All],MED,FALSE)</f>
        <v>914.82300000000009</v>
      </c>
      <c r="X34" s="47">
        <f>VLOOKUP(SummaryEncryption[[#This Row],[Mode]],DecFileSummary[#All],10,FALSE)</f>
        <v>10485760</v>
      </c>
    </row>
    <row r="35" spans="1:24" ht="17" thickTop="1" thickBot="1">
      <c r="A35" s="49" t="s">
        <v>3</v>
      </c>
      <c r="B35" s="18" t="s">
        <v>15</v>
      </c>
      <c r="C35" s="47" t="str">
        <f>CONCATENATE(SummaryEncryption[[#This Row],[Mode]],"_",SummaryEncryption[[#This Row],[Key size (B)]])</f>
        <v>CFB_24B</v>
      </c>
      <c r="D35" s="18">
        <v>10000</v>
      </c>
      <c r="E35" s="47">
        <f>SummaryEncryption[[#This Row],[Test Size (KB)]]/SummaryEncryption[[#This Row],[Average (ms)]]/1000</f>
        <v>7.0146887582597959</v>
      </c>
      <c r="F35" s="54">
        <f>HLOOKUP($A35,SumEnc24x10[#All],AVG,FALSE)</f>
        <v>1.4255800000000001</v>
      </c>
      <c r="G35" s="54">
        <f>HLOOKUP($A35,SumEnc24x10[#All],MIN,FALSE)</f>
        <v>1.2072700000000001</v>
      </c>
      <c r="H35" s="54">
        <f>HLOOKUP($A35,SumEnc24x10[#All],MAX,FALSE)</f>
        <v>1.7433700000000001</v>
      </c>
      <c r="I35" s="54">
        <f>HLOOKUP($A35,SumEnc24x10[#All],MED,FALSE)</f>
        <v>1.4368300000000001</v>
      </c>
      <c r="J35" s="47">
        <f>VLOOKUP(SummaryEncryption[[#This Row],[Mode]],EncFileSummary[#All],10,FALSE)</f>
        <v>20971520</v>
      </c>
      <c r="O35" s="49" t="s">
        <v>3</v>
      </c>
      <c r="P35" s="18" t="s">
        <v>15</v>
      </c>
      <c r="Q35" s="47" t="str">
        <f>CONCATENATE(SummaryDecryption[[#This Row],[Mode]],"_",SummaryDecryption[[#This Row],[Key size (B)]])</f>
        <v>CFB_24B</v>
      </c>
      <c r="R35" s="18">
        <v>10000</v>
      </c>
      <c r="S35" s="47">
        <f>SummaryDecryption[[#This Row],[Test Size (KB)]]/SummaryDecryption[[#This Row],[Average (ms)]]/1000</f>
        <v>4.6397597717980554E-3</v>
      </c>
      <c r="T35" s="54">
        <f>HLOOKUP($A35,SumDec24x10[#All],AVG,FALSE)</f>
        <v>2155.2840000000001</v>
      </c>
      <c r="U35" s="54">
        <f>HLOOKUP($A35,SumDec24x10[#All],MIN,FALSE)</f>
        <v>1711.42</v>
      </c>
      <c r="V35" s="54">
        <f>HLOOKUP($A35,SumDec24x10[#All],MAX,FALSE)</f>
        <v>2774.43</v>
      </c>
      <c r="W35" s="54">
        <f>HLOOKUP($A35,SumDec24x10[#All],MED,FALSE)</f>
        <v>2177.9250000000002</v>
      </c>
      <c r="X35" s="47">
        <f>VLOOKUP(SummaryEncryption[[#This Row],[Mode]],DecFileSummary[#All],10,FALSE)</f>
        <v>10485760</v>
      </c>
    </row>
    <row r="36" spans="1:24" ht="17" thickTop="1" thickBot="1">
      <c r="A36" s="48" t="s">
        <v>2</v>
      </c>
      <c r="B36" s="13" t="s">
        <v>15</v>
      </c>
      <c r="C36" s="47" t="str">
        <f>CONCATENATE(SummaryEncryption[[#This Row],[Mode]],"_",SummaryEncryption[[#This Row],[Key size (B)]])</f>
        <v>OFB_24B</v>
      </c>
      <c r="D36" s="13">
        <v>10000</v>
      </c>
      <c r="E36" s="47">
        <f>SummaryEncryption[[#This Row],[Test Size (KB)]]/SummaryEncryption[[#This Row],[Average (ms)]]/1000</f>
        <v>6.9535371600502591</v>
      </c>
      <c r="F36" s="53">
        <f>HLOOKUP($A36,SumEnc24x10[#All],AVG,FALSE)</f>
        <v>1.4381170000000001</v>
      </c>
      <c r="G36" s="53">
        <f>HLOOKUP($A36,SumEnc24x10[#All],MIN,FALSE)</f>
        <v>1.2158800000000001</v>
      </c>
      <c r="H36" s="53">
        <f>HLOOKUP($A36,SumEnc24x10[#All],MAX,FALSE)</f>
        <v>1.7069700000000001</v>
      </c>
      <c r="I36" s="53">
        <f>HLOOKUP($A36,SumEnc24x10[#All],MED,FALSE)</f>
        <v>1.402415</v>
      </c>
      <c r="J36" s="47">
        <f>VLOOKUP(SummaryEncryption[[#This Row],[Mode]],EncFileSummary[#All],10,FALSE)</f>
        <v>20971520</v>
      </c>
      <c r="O36" s="48" t="s">
        <v>2</v>
      </c>
      <c r="P36" s="13" t="s">
        <v>15</v>
      </c>
      <c r="Q36" s="47" t="str">
        <f>CONCATENATE(SummaryDecryption[[#This Row],[Mode]],"_",SummaryDecryption[[#This Row],[Key size (B)]])</f>
        <v>OFB_24B</v>
      </c>
      <c r="R36" s="13">
        <v>10000</v>
      </c>
      <c r="S36" s="47">
        <f>SummaryDecryption[[#This Row],[Test Size (KB)]]/SummaryDecryption[[#This Row],[Average (ms)]]/1000</f>
        <v>4.7578900090019275E-3</v>
      </c>
      <c r="T36" s="53">
        <f>HLOOKUP($A36,SumDec24x10[#All],AVG,FALSE)</f>
        <v>2101.7719999999999</v>
      </c>
      <c r="U36" s="53">
        <f>HLOOKUP($A36,SumDec24x10[#All],MIN,FALSE)</f>
        <v>1860.08</v>
      </c>
      <c r="V36" s="53">
        <f>HLOOKUP($A36,SumDec24x10[#All],MAX,FALSE)</f>
        <v>2396.67</v>
      </c>
      <c r="W36" s="53">
        <f>HLOOKUP($A36,SumDec24x10[#All],MED,FALSE)</f>
        <v>2043.32</v>
      </c>
      <c r="X36" s="47">
        <f>VLOOKUP(SummaryEncryption[[#This Row],[Mode]],DecFileSummary[#All],10,FALSE)</f>
        <v>10485760</v>
      </c>
    </row>
    <row r="37" spans="1:24" ht="17" thickTop="1" thickBot="1">
      <c r="A37" s="49" t="s">
        <v>4</v>
      </c>
      <c r="B37" s="18" t="s">
        <v>15</v>
      </c>
      <c r="C37" s="47" t="str">
        <f>CONCATENATE(SummaryEncryption[[#This Row],[Mode]],"_",SummaryEncryption[[#This Row],[Key size (B)]])</f>
        <v>CTR_24B</v>
      </c>
      <c r="D37" s="18">
        <v>10000</v>
      </c>
      <c r="E37" s="47">
        <f>SummaryEncryption[[#This Row],[Test Size (KB)]]/SummaryEncryption[[#This Row],[Average (ms)]]/1000</f>
        <v>6.8631306444960103</v>
      </c>
      <c r="F37" s="54">
        <f>HLOOKUP($A37,SumEnc24x10[#All],AVG,FALSE)</f>
        <v>1.4570609999999999</v>
      </c>
      <c r="G37" s="54">
        <f>HLOOKUP($A37,SumEnc24x10[#All],MIN,FALSE)</f>
        <v>1.1827300000000001</v>
      </c>
      <c r="H37" s="54">
        <f>HLOOKUP($A37,SumEnc24x10[#All],MAX,FALSE)</f>
        <v>1.7598</v>
      </c>
      <c r="I37" s="54">
        <f>HLOOKUP($A37,SumEnc24x10[#All],MED,FALSE)</f>
        <v>1.4180600000000001</v>
      </c>
      <c r="J37" s="47">
        <f>VLOOKUP(SummaryEncryption[[#This Row],[Mode]],EncFileSummary[#All],10,FALSE)</f>
        <v>20971520</v>
      </c>
      <c r="O37" s="49" t="s">
        <v>4</v>
      </c>
      <c r="P37" s="18" t="s">
        <v>15</v>
      </c>
      <c r="Q37" s="47" t="str">
        <f>CONCATENATE(SummaryDecryption[[#This Row],[Mode]],"_",SummaryDecryption[[#This Row],[Key size (B)]])</f>
        <v>CTR_24B</v>
      </c>
      <c r="R37" s="18">
        <v>10000</v>
      </c>
      <c r="S37" s="47">
        <f>SummaryDecryption[[#This Row],[Test Size (KB)]]/SummaryDecryption[[#This Row],[Average (ms)]]/1000</f>
        <v>4.8565355126874571E-3</v>
      </c>
      <c r="T37" s="54">
        <f>HLOOKUP($A37,SumDec24x10[#All],AVG,FALSE)</f>
        <v>2059.0809999999997</v>
      </c>
      <c r="U37" s="54">
        <f>HLOOKUP($A37,SumDec24x10[#All],MIN,FALSE)</f>
        <v>1497.55</v>
      </c>
      <c r="V37" s="54">
        <f>HLOOKUP($A37,SumDec24x10[#All],MAX,FALSE)</f>
        <v>2411.3000000000002</v>
      </c>
      <c r="W37" s="54">
        <f>HLOOKUP($A37,SumDec24x10[#All],MED,FALSE)</f>
        <v>2027.175</v>
      </c>
      <c r="X37" s="47">
        <f>VLOOKUP(SummaryEncryption[[#This Row],[Mode]],DecFileSummary[#All],10,FALSE)</f>
        <v>10485760</v>
      </c>
    </row>
    <row r="38" spans="1:24" ht="17" thickTop="1" thickBot="1">
      <c r="A38" s="48" t="s">
        <v>0</v>
      </c>
      <c r="B38" s="13" t="s">
        <v>15</v>
      </c>
      <c r="C38" s="47" t="str">
        <f>CONCATENATE(SummaryEncryption[[#This Row],[Mode]],"_",SummaryEncryption[[#This Row],[Key size (B)]])</f>
        <v>ECB_24B</v>
      </c>
      <c r="D38" s="13">
        <v>256000</v>
      </c>
      <c r="E38" s="47">
        <f>SummaryEncryption[[#This Row],[Test Size (KB)]]/SummaryEncryption[[#This Row],[Average (ms)]]/1000</f>
        <v>8.240469784032093E-3</v>
      </c>
      <c r="F38" s="53">
        <f>HLOOKUP($A38,SumEnc24x256[#All],AVG,FALSE)</f>
        <v>31066.190000000002</v>
      </c>
      <c r="G38" s="53">
        <f>HLOOKUP($A38,SumEnc24x256[#All],MIN,FALSE)</f>
        <v>30269.3</v>
      </c>
      <c r="H38" s="53">
        <f>HLOOKUP($A38,SumEnc24x256[#All],MAX,FALSE)</f>
        <v>31891.599999999999</v>
      </c>
      <c r="I38" s="53">
        <f>HLOOKUP($A38,SumEnc24x256[#All],MED,FALSE)</f>
        <v>31056.6</v>
      </c>
      <c r="J38" s="47">
        <f>VLOOKUP(SummaryEncryption[[#This Row],[Mode]],EncFileSummary[#All],13,FALSE)</f>
        <v>536870944</v>
      </c>
      <c r="O38" s="48" t="s">
        <v>0</v>
      </c>
      <c r="P38" s="13" t="s">
        <v>15</v>
      </c>
      <c r="Q38" s="47" t="str">
        <f>CONCATENATE(SummaryDecryption[[#This Row],[Mode]],"_",SummaryDecryption[[#This Row],[Key size (B)]])</f>
        <v>ECB_24B</v>
      </c>
      <c r="R38" s="13">
        <v>256000</v>
      </c>
      <c r="S38" s="47">
        <f>SummaryDecryption[[#This Row],[Test Size (KB)]]/SummaryDecryption[[#This Row],[Average (ms)]]/1000</f>
        <v>1.3616767772940399E-2</v>
      </c>
      <c r="T38" s="53">
        <f>HLOOKUP($A38,SumDec24x256[#All],AVG,FALSE)</f>
        <v>18800.349999999999</v>
      </c>
      <c r="U38" s="53">
        <f>HLOOKUP($A38,SumDec24x256[#All],MIN,FALSE)</f>
        <v>17908.7</v>
      </c>
      <c r="V38" s="53">
        <f>HLOOKUP($A38,SumDec24x256[#All],MAX,FALSE)</f>
        <v>21713.3</v>
      </c>
      <c r="W38" s="53">
        <f>HLOOKUP($A38,SumDec24x256[#All],MED,FALSE)</f>
        <v>18261.849999999999</v>
      </c>
      <c r="X38" s="47">
        <f>VLOOKUP(SummaryEncryption[[#This Row],[Mode]],DecFileSummary[#All],13,FALSE)</f>
        <v>268435456</v>
      </c>
    </row>
    <row r="39" spans="1:24" ht="17" thickTop="1" thickBot="1">
      <c r="A39" s="49" t="s">
        <v>1</v>
      </c>
      <c r="B39" s="18" t="s">
        <v>15</v>
      </c>
      <c r="C39" s="47" t="str">
        <f>CONCATENATE(SummaryEncryption[[#This Row],[Mode]],"_",SummaryEncryption[[#This Row],[Key size (B)]])</f>
        <v>CBC_24B</v>
      </c>
      <c r="D39" s="18">
        <v>256000</v>
      </c>
      <c r="E39" s="47">
        <f>SummaryEncryption[[#This Row],[Test Size (KB)]]/SummaryEncryption[[#This Row],[Average (ms)]]/1000</f>
        <v>8.1292990416636091</v>
      </c>
      <c r="F39" s="54">
        <f>HLOOKUP($A39,SumEnc24x256[#All],AVG,FALSE)</f>
        <v>31.491030000000002</v>
      </c>
      <c r="G39" s="54">
        <f>HLOOKUP($A39,SumEnc24x256[#All],MIN,FALSE)</f>
        <v>30.5214</v>
      </c>
      <c r="H39" s="54">
        <f>HLOOKUP($A39,SumEnc24x256[#All],MAX,FALSE)</f>
        <v>33.3994</v>
      </c>
      <c r="I39" s="54">
        <f>HLOOKUP($A39,SumEnc24x256[#All],MED,FALSE)</f>
        <v>31.226050000000001</v>
      </c>
      <c r="J39" s="47">
        <f>VLOOKUP(SummaryEncryption[[#This Row],[Mode]],EncFileSummary[#All],13,FALSE)</f>
        <v>536870944</v>
      </c>
      <c r="O39" s="49" t="s">
        <v>1</v>
      </c>
      <c r="P39" s="18" t="s">
        <v>15</v>
      </c>
      <c r="Q39" s="47" t="str">
        <f>CONCATENATE(SummaryDecryption[[#This Row],[Mode]],"_",SummaryDecryption[[#This Row],[Key size (B)]])</f>
        <v>CBC_24B</v>
      </c>
      <c r="R39" s="18">
        <v>256000</v>
      </c>
      <c r="S39" s="47">
        <f>SummaryDecryption[[#This Row],[Test Size (KB)]]/SummaryDecryption[[#This Row],[Average (ms)]]/1000</f>
        <v>1.4586902898520172E-2</v>
      </c>
      <c r="T39" s="54">
        <f>HLOOKUP($A39,SumDec24x256[#All],AVG,FALSE)</f>
        <v>17549.989999999998</v>
      </c>
      <c r="U39" s="54">
        <f>HLOOKUP($A39,SumDec24x256[#All],MIN,FALSE)</f>
        <v>16964.2</v>
      </c>
      <c r="V39" s="54">
        <f>HLOOKUP($A39,SumDec24x256[#All],MAX,FALSE)</f>
        <v>18130.5</v>
      </c>
      <c r="W39" s="54">
        <f>HLOOKUP($A39,SumDec24x256[#All],MED,FALSE)</f>
        <v>17559.3</v>
      </c>
      <c r="X39" s="47">
        <f>VLOOKUP(SummaryEncryption[[#This Row],[Mode]],DecFileSummary[#All],13,FALSE)</f>
        <v>268435456</v>
      </c>
    </row>
    <row r="40" spans="1:24" ht="17" thickTop="1" thickBot="1">
      <c r="A40" s="48" t="s">
        <v>3</v>
      </c>
      <c r="B40" s="13" t="s">
        <v>15</v>
      </c>
      <c r="C40" s="47" t="str">
        <f>CONCATENATE(SummaryEncryption[[#This Row],[Mode]],"_",SummaryEncryption[[#This Row],[Key size (B)]])</f>
        <v>CFB_24B</v>
      </c>
      <c r="D40" s="13">
        <v>256000</v>
      </c>
      <c r="E40" s="47">
        <f>SummaryEncryption[[#This Row],[Test Size (KB)]]/SummaryEncryption[[#This Row],[Average (ms)]]/1000</f>
        <v>8.2743890850464972</v>
      </c>
      <c r="F40" s="53">
        <f>HLOOKUP($A40,SumEnc24x256[#All],AVG,FALSE)</f>
        <v>30.938839999999999</v>
      </c>
      <c r="G40" s="53">
        <f>HLOOKUP($A40,SumEnc24x256[#All],MIN,FALSE)</f>
        <v>30.180399999999999</v>
      </c>
      <c r="H40" s="53">
        <f>HLOOKUP($A40,SumEnc24x256[#All],MAX,FALSE)</f>
        <v>33.586199999999998</v>
      </c>
      <c r="I40" s="53">
        <f>HLOOKUP($A40,SumEnc24x256[#All],MED,FALSE)</f>
        <v>30.522600000000001</v>
      </c>
      <c r="J40" s="47">
        <f>VLOOKUP(SummaryEncryption[[#This Row],[Mode]],EncFileSummary[#All],13,FALSE)</f>
        <v>536870912</v>
      </c>
      <c r="O40" s="48" t="s">
        <v>3</v>
      </c>
      <c r="P40" s="13" t="s">
        <v>15</v>
      </c>
      <c r="Q40" s="47" t="str">
        <f>CONCATENATE(SummaryDecryption[[#This Row],[Mode]],"_",SummaryDecryption[[#This Row],[Key size (B)]])</f>
        <v>CFB_24B</v>
      </c>
      <c r="R40" s="13">
        <v>256000</v>
      </c>
      <c r="S40" s="47">
        <f>SummaryDecryption[[#This Row],[Test Size (KB)]]/SummaryDecryption[[#This Row],[Average (ms)]]/1000</f>
        <v>6.4948392666819054E-3</v>
      </c>
      <c r="T40" s="53">
        <f>HLOOKUP($A40,SumDec24x256[#All],AVG,FALSE)</f>
        <v>39415.910000000003</v>
      </c>
      <c r="U40" s="53">
        <f>HLOOKUP($A40,SumDec24x256[#All],MIN,FALSE)</f>
        <v>38132.5</v>
      </c>
      <c r="V40" s="53">
        <f>HLOOKUP($A40,SumDec24x256[#All],MAX,FALSE)</f>
        <v>43966.7</v>
      </c>
      <c r="W40" s="53">
        <f>HLOOKUP($A40,SumDec24x256[#All],MED,FALSE)</f>
        <v>38900.050000000003</v>
      </c>
      <c r="X40" s="47">
        <f>VLOOKUP(SummaryEncryption[[#This Row],[Mode]],DecFileSummary[#All],13,FALSE)</f>
        <v>268435456</v>
      </c>
    </row>
    <row r="41" spans="1:24" ht="17" thickTop="1" thickBot="1">
      <c r="A41" s="49" t="s">
        <v>2</v>
      </c>
      <c r="B41" s="18" t="s">
        <v>15</v>
      </c>
      <c r="C41" s="47" t="str">
        <f>CONCATENATE(SummaryEncryption[[#This Row],[Mode]],"_",SummaryEncryption[[#This Row],[Key size (B)]])</f>
        <v>OFB_24B</v>
      </c>
      <c r="D41" s="18">
        <v>256000</v>
      </c>
      <c r="E41" s="47">
        <f>SummaryEncryption[[#This Row],[Test Size (KB)]]/SummaryEncryption[[#This Row],[Average (ms)]]/1000</f>
        <v>8.2229947697256325</v>
      </c>
      <c r="F41" s="54">
        <f>HLOOKUP($A41,SumEnc24x256[#All],AVG,FALSE)</f>
        <v>31.132209999999997</v>
      </c>
      <c r="G41" s="54">
        <f>HLOOKUP($A41,SumEnc24x256[#All],MIN,FALSE)</f>
        <v>30.393899999999999</v>
      </c>
      <c r="H41" s="54">
        <f>HLOOKUP($A41,SumEnc24x256[#All],MAX,FALSE)</f>
        <v>32.526499999999999</v>
      </c>
      <c r="I41" s="54">
        <f>HLOOKUP($A41,SumEnc24x256[#All],MED,FALSE)</f>
        <v>30.959849999999999</v>
      </c>
      <c r="J41" s="47">
        <f>VLOOKUP(SummaryEncryption[[#This Row],[Mode]],EncFileSummary[#All],13,FALSE)</f>
        <v>536870912</v>
      </c>
      <c r="O41" s="49" t="s">
        <v>2</v>
      </c>
      <c r="P41" s="18" t="s">
        <v>15</v>
      </c>
      <c r="Q41" s="47" t="str">
        <f>CONCATENATE(SummaryDecryption[[#This Row],[Mode]],"_",SummaryDecryption[[#This Row],[Key size (B)]])</f>
        <v>OFB_24B</v>
      </c>
      <c r="R41" s="18">
        <v>256000</v>
      </c>
      <c r="S41" s="47">
        <f>SummaryDecryption[[#This Row],[Test Size (KB)]]/SummaryDecryption[[#This Row],[Average (ms)]]/1000</f>
        <v>6.8637528963160438E-3</v>
      </c>
      <c r="T41" s="54">
        <f>HLOOKUP($A41,SumDec24x256[#All],AVG,FALSE)</f>
        <v>37297.37999999999</v>
      </c>
      <c r="U41" s="54">
        <f>HLOOKUP($A41,SumDec24x256[#All],MIN,FALSE)</f>
        <v>35978.1</v>
      </c>
      <c r="V41" s="54">
        <f>HLOOKUP($A41,SumDec24x256[#All],MAX,FALSE)</f>
        <v>39519.4</v>
      </c>
      <c r="W41" s="54">
        <f>HLOOKUP($A41,SumDec24x256[#All],MED,FALSE)</f>
        <v>37014.949999999997</v>
      </c>
      <c r="X41" s="47">
        <f>VLOOKUP(SummaryEncryption[[#This Row],[Mode]],DecFileSummary[#All],13,FALSE)</f>
        <v>268435456</v>
      </c>
    </row>
    <row r="42" spans="1:24" ht="17" thickTop="1" thickBot="1">
      <c r="A42" s="48" t="s">
        <v>4</v>
      </c>
      <c r="B42" s="13" t="s">
        <v>15</v>
      </c>
      <c r="C42" s="47" t="str">
        <f>CONCATENATE(SummaryEncryption[[#This Row],[Mode]],"_",SummaryEncryption[[#This Row],[Key size (B)]])</f>
        <v>CTR_24B</v>
      </c>
      <c r="D42" s="13">
        <v>256000</v>
      </c>
      <c r="E42" s="47">
        <f>SummaryEncryption[[#This Row],[Test Size (KB)]]/SummaryEncryption[[#This Row],[Average (ms)]]/1000</f>
        <v>7.9828468578142724</v>
      </c>
      <c r="F42" s="53">
        <f>HLOOKUP($A42,SumEnc24x256[#All],AVG,FALSE)</f>
        <v>32.068759999999997</v>
      </c>
      <c r="G42" s="53">
        <f>HLOOKUP($A42,SumEnc24x256[#All],MIN,FALSE)</f>
        <v>30.331299999999999</v>
      </c>
      <c r="H42" s="53">
        <f>HLOOKUP($A42,SumEnc24x256[#All],MAX,FALSE)</f>
        <v>39.975099999999998</v>
      </c>
      <c r="I42" s="53">
        <f>HLOOKUP($A42,SumEnc24x256[#All],MED,FALSE)</f>
        <v>31.36195</v>
      </c>
      <c r="J42" s="47">
        <f>VLOOKUP(SummaryEncryption[[#This Row],[Mode]],EncFileSummary[#All],13,FALSE)</f>
        <v>536870912</v>
      </c>
      <c r="O42" s="48" t="s">
        <v>4</v>
      </c>
      <c r="P42" s="13" t="s">
        <v>15</v>
      </c>
      <c r="Q42" s="47" t="str">
        <f>CONCATENATE(SummaryDecryption[[#This Row],[Mode]],"_",SummaryDecryption[[#This Row],[Key size (B)]])</f>
        <v>CTR_24B</v>
      </c>
      <c r="R42" s="13">
        <v>256000</v>
      </c>
      <c r="S42" s="47">
        <f>SummaryDecryption[[#This Row],[Test Size (KB)]]/SummaryDecryption[[#This Row],[Average (ms)]]/1000</f>
        <v>6.6925200108962609E-3</v>
      </c>
      <c r="T42" s="53">
        <f>HLOOKUP($A42,SumDec24x256[#All],AVG,FALSE)</f>
        <v>38251.659999999989</v>
      </c>
      <c r="U42" s="53">
        <f>HLOOKUP($A42,SumDec24x256[#All],MIN,FALSE)</f>
        <v>36331.800000000003</v>
      </c>
      <c r="V42" s="53">
        <f>HLOOKUP($A42,SumDec24x256[#All],MAX,FALSE)</f>
        <v>41324.800000000003</v>
      </c>
      <c r="W42" s="53">
        <f>HLOOKUP($A42,SumDec24x256[#All],MED,FALSE)</f>
        <v>38063.050000000003</v>
      </c>
      <c r="X42" s="47">
        <f>VLOOKUP(SummaryEncryption[[#This Row],[Mode]],DecFileSummary[#All],13,FALSE)</f>
        <v>268435456</v>
      </c>
    </row>
    <row r="43" spans="1:24" ht="17" thickTop="1" thickBot="1">
      <c r="A43" s="49" t="s">
        <v>0</v>
      </c>
      <c r="B43" s="18" t="s">
        <v>14</v>
      </c>
      <c r="C43" s="47" t="str">
        <f>CONCATENATE(SummaryEncryption[[#This Row],[Mode]],"_",SummaryEncryption[[#This Row],[Key size (B)]])</f>
        <v>ECB_32B</v>
      </c>
      <c r="D43" s="47">
        <v>1000</v>
      </c>
      <c r="E43" s="47">
        <f>SummaryEncryption[[#This Row],[Test Size (KB)]]/SummaryEncryption[[#This Row],[Average (ms)]]/1000</f>
        <v>7.9849914101454908E-3</v>
      </c>
      <c r="F43" s="54">
        <f>HLOOKUP($A43,SumEnc32x16[#All],AVG,FALSE)</f>
        <v>125.23495</v>
      </c>
      <c r="G43" s="54">
        <f>HLOOKUP($A43,SumEnc32x16[#All],MIN,FALSE)</f>
        <v>119.117</v>
      </c>
      <c r="H43" s="54">
        <f>HLOOKUP($A43,SumEnc32x16[#All],MAX,FALSE)</f>
        <v>139.755</v>
      </c>
      <c r="I43" s="54">
        <f>HLOOKUP($A43,SumEnc32x16[#All],MED,FALSE)</f>
        <v>124.16900000000001</v>
      </c>
      <c r="J43" s="47">
        <f>VLOOKUP(SummaryEncryption[[#This Row],[Mode]],EncFileSummary[#All],4,FALSE)</f>
        <v>64</v>
      </c>
      <c r="O43" s="49" t="s">
        <v>0</v>
      </c>
      <c r="P43" s="18" t="s">
        <v>14</v>
      </c>
      <c r="Q43" s="47" t="str">
        <f>CONCATENATE(SummaryDecryption[[#This Row],[Mode]],"_",SummaryDecryption[[#This Row],[Key size (B)]])</f>
        <v>ECB_32B</v>
      </c>
      <c r="R43" s="47">
        <v>1000</v>
      </c>
      <c r="S43" s="47">
        <f>SummaryDecryption[[#This Row],[Test Size (KB)]]/SummaryDecryption[[#This Row],[Average (ms)]]/1000</f>
        <v>1.445461647927461E-2</v>
      </c>
      <c r="T43" s="54">
        <f>HLOOKUP($A43,SumDec32x16[#All],AVG,FALSE)</f>
        <v>69.182050000000004</v>
      </c>
      <c r="U43" s="54">
        <f>HLOOKUP($A43,SumDec32x16[#All],MIN,FALSE)</f>
        <v>64.900000000000006</v>
      </c>
      <c r="V43" s="54">
        <f>HLOOKUP($A43,SumDec32x16[#All],MAX,FALSE)</f>
        <v>89.58</v>
      </c>
      <c r="W43" s="54">
        <f>HLOOKUP($A43,SumDec32x16[#All],MED,FALSE)</f>
        <v>66.465499999999992</v>
      </c>
      <c r="X43" s="47">
        <f>VLOOKUP(SummaryEncryption[[#This Row],[Mode]],DecFileSummary[#All],4,FALSE)</f>
        <v>16</v>
      </c>
    </row>
    <row r="44" spans="1:24" ht="17" thickTop="1" thickBot="1">
      <c r="A44" s="48" t="s">
        <v>1</v>
      </c>
      <c r="B44" s="13" t="s">
        <v>14</v>
      </c>
      <c r="C44" s="47" t="str">
        <f>CONCATENATE(SummaryEncryption[[#This Row],[Mode]],"_",SummaryEncryption[[#This Row],[Key size (B)]])</f>
        <v>CBC_32B</v>
      </c>
      <c r="D44" s="47">
        <v>1000</v>
      </c>
      <c r="E44" s="47">
        <f>SummaryEncryption[[#This Row],[Test Size (KB)]]/SummaryEncryption[[#This Row],[Average (ms)]]/1000</f>
        <v>7.8928560575894355</v>
      </c>
      <c r="F44" s="53">
        <f>HLOOKUP($A44,SumEnc32x16[#All],AVG,FALSE)</f>
        <v>0.12669685</v>
      </c>
      <c r="G44" s="53">
        <f>HLOOKUP($A44,SumEnc32x16[#All],MIN,FALSE)</f>
        <v>0.118923</v>
      </c>
      <c r="H44" s="53">
        <f>HLOOKUP($A44,SumEnc32x16[#All],MAX,FALSE)</f>
        <v>0.15095700000000001</v>
      </c>
      <c r="I44" s="53">
        <f>HLOOKUP($A44,SumEnc32x16[#All],MED,FALSE)</f>
        <v>0.1241855</v>
      </c>
      <c r="J44" s="47">
        <f>VLOOKUP(SummaryEncryption[[#This Row],[Mode]],EncFileSummary[#All],4,FALSE)</f>
        <v>64</v>
      </c>
      <c r="O44" s="48" t="s">
        <v>1</v>
      </c>
      <c r="P44" s="13" t="s">
        <v>14</v>
      </c>
      <c r="Q44" s="47" t="str">
        <f>CONCATENATE(SummaryDecryption[[#This Row],[Mode]],"_",SummaryDecryption[[#This Row],[Key size (B)]])</f>
        <v>CBC_32B</v>
      </c>
      <c r="R44" s="47">
        <v>1000</v>
      </c>
      <c r="S44" s="47">
        <f>SummaryDecryption[[#This Row],[Test Size (KB)]]/SummaryDecryption[[#This Row],[Average (ms)]]/1000</f>
        <v>1.414327133866063E-2</v>
      </c>
      <c r="T44" s="53">
        <f>HLOOKUP($A44,SumDec32x16[#All],AVG,FALSE)</f>
        <v>70.705000000000013</v>
      </c>
      <c r="U44" s="53">
        <f>HLOOKUP($A44,SumDec32x16[#All],MIN,FALSE)</f>
        <v>65.385000000000005</v>
      </c>
      <c r="V44" s="53">
        <f>HLOOKUP($A44,SumDec32x16[#All],MAX,FALSE)</f>
        <v>108.73699999999999</v>
      </c>
      <c r="W44" s="53">
        <f>HLOOKUP($A44,SumDec32x16[#All],MED,FALSE)</f>
        <v>66.221499999999992</v>
      </c>
      <c r="X44" s="47">
        <f>VLOOKUP(SummaryEncryption[[#This Row],[Mode]],DecFileSummary[#All],4,FALSE)</f>
        <v>16</v>
      </c>
    </row>
    <row r="45" spans="1:24" ht="17" thickTop="1" thickBot="1">
      <c r="A45" s="49" t="s">
        <v>3</v>
      </c>
      <c r="B45" s="18" t="s">
        <v>14</v>
      </c>
      <c r="C45" s="47" t="str">
        <f>CONCATENATE(SummaryEncryption[[#This Row],[Mode]],"_",SummaryEncryption[[#This Row],[Key size (B)]])</f>
        <v>CFB_32B</v>
      </c>
      <c r="D45" s="47">
        <v>1000</v>
      </c>
      <c r="E45" s="47">
        <f>SummaryEncryption[[#This Row],[Test Size (KB)]]/SummaryEncryption[[#This Row],[Average (ms)]]/1000</f>
        <v>7.9626614877516353</v>
      </c>
      <c r="F45" s="54">
        <f>HLOOKUP($A45,SumEnc32x16[#All],AVG,FALSE)</f>
        <v>0.12558615000000001</v>
      </c>
      <c r="G45" s="54">
        <f>HLOOKUP($A45,SumEnc32x16[#All],MIN,FALSE)</f>
        <v>0.118738</v>
      </c>
      <c r="H45" s="54">
        <f>HLOOKUP($A45,SumEnc32x16[#All],MAX,FALSE)</f>
        <v>0.137826</v>
      </c>
      <c r="I45" s="54">
        <f>HLOOKUP($A45,SumEnc32x16[#All],MED,FALSE)</f>
        <v>0.1245305</v>
      </c>
      <c r="J45" s="47">
        <f>VLOOKUP(SummaryEncryption[[#This Row],[Mode]],EncFileSummary[#All],4,FALSE)</f>
        <v>32</v>
      </c>
      <c r="O45" s="49" t="s">
        <v>3</v>
      </c>
      <c r="P45" s="18" t="s">
        <v>14</v>
      </c>
      <c r="Q45" s="47" t="str">
        <f>CONCATENATE(SummaryDecryption[[#This Row],[Mode]],"_",SummaryDecryption[[#This Row],[Key size (B)]])</f>
        <v>CFB_32B</v>
      </c>
      <c r="R45" s="47">
        <v>1000</v>
      </c>
      <c r="S45" s="47">
        <f>SummaryDecryption[[#This Row],[Test Size (KB)]]/SummaryDecryption[[#This Row],[Average (ms)]]/1000</f>
        <v>6.462355004948548E-3</v>
      </c>
      <c r="T45" s="54">
        <f>HLOOKUP($A45,SumDec32x16[#All],AVG,FALSE)</f>
        <v>154.74235000000002</v>
      </c>
      <c r="U45" s="54">
        <f>HLOOKUP($A45,SumDec32x16[#All],MIN,FALSE)</f>
        <v>148.792</v>
      </c>
      <c r="V45" s="54">
        <f>HLOOKUP($A45,SumDec32x16[#All],MAX,FALSE)</f>
        <v>179.69900000000001</v>
      </c>
      <c r="W45" s="54">
        <f>HLOOKUP($A45,SumDec32x16[#All],MED,FALSE)</f>
        <v>151.499</v>
      </c>
      <c r="X45" s="47">
        <f>VLOOKUP(SummaryEncryption[[#This Row],[Mode]],DecFileSummary[#All],4,FALSE)</f>
        <v>16</v>
      </c>
    </row>
    <row r="46" spans="1:24" ht="17" thickTop="1" thickBot="1">
      <c r="A46" s="48" t="s">
        <v>2</v>
      </c>
      <c r="B46" s="13" t="s">
        <v>14</v>
      </c>
      <c r="C46" s="47" t="str">
        <f>CONCATENATE(SummaryEncryption[[#This Row],[Mode]],"_",SummaryEncryption[[#This Row],[Key size (B)]])</f>
        <v>OFB_32B</v>
      </c>
      <c r="D46" s="47">
        <v>1000</v>
      </c>
      <c r="E46" s="47">
        <f>SummaryEncryption[[#This Row],[Test Size (KB)]]/SummaryEncryption[[#This Row],[Average (ms)]]/1000</f>
        <v>7.686672769884848</v>
      </c>
      <c r="F46" s="53">
        <f>HLOOKUP($A46,SumEnc32x16[#All],AVG,FALSE)</f>
        <v>0.13009529999999997</v>
      </c>
      <c r="G46" s="53">
        <f>HLOOKUP($A46,SumEnc32x16[#All],MIN,FALSE)</f>
        <v>0.119446</v>
      </c>
      <c r="H46" s="53">
        <f>HLOOKUP($A46,SumEnc32x16[#All],MAX,FALSE)</f>
        <v>0.153618</v>
      </c>
      <c r="I46" s="53">
        <f>HLOOKUP($A46,SumEnc32x16[#All],MED,FALSE)</f>
        <v>0.1241285</v>
      </c>
      <c r="J46" s="47">
        <f>VLOOKUP(SummaryEncryption[[#This Row],[Mode]],EncFileSummary[#All],4,FALSE)</f>
        <v>32</v>
      </c>
      <c r="O46" s="48" t="s">
        <v>2</v>
      </c>
      <c r="P46" s="13" t="s">
        <v>14</v>
      </c>
      <c r="Q46" s="47" t="str">
        <f>CONCATENATE(SummaryDecryption[[#This Row],[Mode]],"_",SummaryDecryption[[#This Row],[Key size (B)]])</f>
        <v>OFB_32B</v>
      </c>
      <c r="R46" s="47">
        <v>1000</v>
      </c>
      <c r="S46" s="47">
        <f>SummaryDecryption[[#This Row],[Test Size (KB)]]/SummaryDecryption[[#This Row],[Average (ms)]]/1000</f>
        <v>6.7161264606315791E-3</v>
      </c>
      <c r="T46" s="53">
        <f>HLOOKUP($A46,SumDec32x16[#All],AVG,FALSE)</f>
        <v>148.89534999999998</v>
      </c>
      <c r="U46" s="53">
        <f>HLOOKUP($A46,SumDec32x16[#All],MIN,FALSE)</f>
        <v>139.68199999999999</v>
      </c>
      <c r="V46" s="53">
        <f>HLOOKUP($A46,SumDec32x16[#All],MAX,FALSE)</f>
        <v>185.459</v>
      </c>
      <c r="W46" s="53">
        <f>HLOOKUP($A46,SumDec32x16[#All],MED,FALSE)</f>
        <v>143.51150000000001</v>
      </c>
      <c r="X46" s="47">
        <f>VLOOKUP(SummaryEncryption[[#This Row],[Mode]],DecFileSummary[#All],4,FALSE)</f>
        <v>16</v>
      </c>
    </row>
    <row r="47" spans="1:24" ht="17" thickTop="1" thickBot="1">
      <c r="A47" s="49" t="s">
        <v>4</v>
      </c>
      <c r="B47" s="18" t="s">
        <v>14</v>
      </c>
      <c r="C47" s="47" t="str">
        <f>CONCATENATE(SummaryEncryption[[#This Row],[Mode]],"_",SummaryEncryption[[#This Row],[Key size (B)]])</f>
        <v>CTR_32B</v>
      </c>
      <c r="D47" s="47">
        <v>1000</v>
      </c>
      <c r="E47" s="47">
        <f>SummaryEncryption[[#This Row],[Test Size (KB)]]/SummaryEncryption[[#This Row],[Average (ms)]]/1000</f>
        <v>8.0823821043128383</v>
      </c>
      <c r="F47" s="54">
        <f>HLOOKUP($A47,SumEnc32x16[#All],AVG,FALSE)</f>
        <v>0.12372590000000001</v>
      </c>
      <c r="G47" s="54">
        <f>HLOOKUP($A47,SumEnc32x16[#All],MIN,FALSE)</f>
        <v>0.118807</v>
      </c>
      <c r="H47" s="54">
        <f>HLOOKUP($A47,SumEnc32x16[#All],MAX,FALSE)</f>
        <v>0.13514100000000001</v>
      </c>
      <c r="I47" s="54">
        <f>HLOOKUP($A47,SumEnc32x16[#All],MED,FALSE)</f>
        <v>0.123044</v>
      </c>
      <c r="J47" s="47">
        <f>VLOOKUP(SummaryEncryption[[#This Row],[Mode]],EncFileSummary[#All],4,FALSE)</f>
        <v>32</v>
      </c>
      <c r="O47" s="49" t="s">
        <v>4</v>
      </c>
      <c r="P47" s="18" t="s">
        <v>14</v>
      </c>
      <c r="Q47" s="47" t="str">
        <f>CONCATENATE(SummaryDecryption[[#This Row],[Mode]],"_",SummaryDecryption[[#This Row],[Key size (B)]])</f>
        <v>CTR_32B</v>
      </c>
      <c r="R47" s="47">
        <v>1000</v>
      </c>
      <c r="S47" s="47">
        <f>SummaryDecryption[[#This Row],[Test Size (KB)]]/SummaryDecryption[[#This Row],[Average (ms)]]/1000</f>
        <v>6.7808034099304205E-3</v>
      </c>
      <c r="T47" s="54">
        <f>HLOOKUP($A47,SumDec32x16[#All],AVG,FALSE)</f>
        <v>147.47514999999996</v>
      </c>
      <c r="U47" s="54">
        <f>HLOOKUP($A47,SumDec32x16[#All],MIN,FALSE)</f>
        <v>141.797</v>
      </c>
      <c r="V47" s="54">
        <f>HLOOKUP($A47,SumDec32x16[#All],MAX,FALSE)</f>
        <v>167.58099999999999</v>
      </c>
      <c r="W47" s="54">
        <f>HLOOKUP($A47,SumDec32x16[#All],MED,FALSE)</f>
        <v>144.95299999999997</v>
      </c>
      <c r="X47" s="47">
        <f>VLOOKUP(SummaryEncryption[[#This Row],[Mode]],DecFileSummary[#All],4,FALSE)</f>
        <v>16</v>
      </c>
    </row>
    <row r="48" spans="1:24" ht="17" thickTop="1" thickBot="1">
      <c r="A48" s="48" t="s">
        <v>0</v>
      </c>
      <c r="B48" s="13" t="s">
        <v>14</v>
      </c>
      <c r="C48" s="47" t="str">
        <f>CONCATENATE(SummaryEncryption[[#This Row],[Mode]],"_",SummaryEncryption[[#This Row],[Key size (B)]])</f>
        <v>ECB_32B</v>
      </c>
      <c r="D48" s="13">
        <v>5000</v>
      </c>
      <c r="E48" s="47">
        <f>SummaryEncryption[[#This Row],[Test Size (KB)]]/SummaryEncryption[[#This Row],[Average (ms)]]/1000</f>
        <v>8.3762700938343274E-3</v>
      </c>
      <c r="F48" s="53">
        <f>HLOOKUP($A48,SumEnc32x32[#All],AVG,FALSE)</f>
        <v>596.92440000000011</v>
      </c>
      <c r="G48" s="53">
        <f>HLOOKUP($A48,SumEnc32x16[#All],MIN,FALSE)</f>
        <v>119.117</v>
      </c>
      <c r="H48" s="53">
        <f>HLOOKUP($A48,SumEnc32x16[#All],MAX,FALSE)</f>
        <v>139.755</v>
      </c>
      <c r="I48" s="53">
        <f>HLOOKUP($A48,SumEnc32x16[#All],MED,FALSE)</f>
        <v>124.16900000000001</v>
      </c>
      <c r="J48" s="47">
        <f>VLOOKUP(SummaryEncryption[[#This Row],[Mode]],EncFileSummary[#All],8,FALSE)</f>
        <v>96</v>
      </c>
      <c r="O48" s="48" t="s">
        <v>0</v>
      </c>
      <c r="P48" s="13" t="s">
        <v>14</v>
      </c>
      <c r="Q48" s="47" t="str">
        <f>CONCATENATE(SummaryDecryption[[#This Row],[Mode]],"_",SummaryDecryption[[#This Row],[Key size (B)]])</f>
        <v>ECB_32B</v>
      </c>
      <c r="R48" s="13">
        <v>5000</v>
      </c>
      <c r="S48" s="47">
        <f>SummaryDecryption[[#This Row],[Test Size (KB)]]/SummaryDecryption[[#This Row],[Average (ms)]]/1000</f>
        <v>1.2897224852539581E-2</v>
      </c>
      <c r="T48" s="53">
        <f>HLOOKUP($A48,SumDec32x32[#All],AVG,FALSE)</f>
        <v>387.68029999999993</v>
      </c>
      <c r="U48" s="53">
        <f>HLOOKUP($A48,SumDec32x16[#All],MIN,FALSE)</f>
        <v>64.900000000000006</v>
      </c>
      <c r="V48" s="53">
        <f>HLOOKUP($A48,SumDec32x16[#All],MAX,FALSE)</f>
        <v>89.58</v>
      </c>
      <c r="W48" s="53">
        <f>HLOOKUP($A48,SumDec32x16[#All],MED,FALSE)</f>
        <v>66.465499999999992</v>
      </c>
      <c r="X48" s="47">
        <f>VLOOKUP(SummaryEncryption[[#This Row],[Mode]],DecFileSummary[#All],8,FALSE)</f>
        <v>32</v>
      </c>
    </row>
    <row r="49" spans="1:24" ht="17" thickTop="1" thickBot="1">
      <c r="A49" s="49" t="s">
        <v>1</v>
      </c>
      <c r="B49" s="18" t="s">
        <v>14</v>
      </c>
      <c r="C49" s="47" t="str">
        <f>CONCATENATE(SummaryEncryption[[#This Row],[Mode]],"_",SummaryEncryption[[#This Row],[Key size (B)]])</f>
        <v>CBC_32B</v>
      </c>
      <c r="D49" s="13">
        <v>5000</v>
      </c>
      <c r="E49" s="47">
        <f>SummaryEncryption[[#This Row],[Test Size (KB)]]/SummaryEncryption[[#This Row],[Average (ms)]]/1000</f>
        <v>8.3776728651113395</v>
      </c>
      <c r="F49" s="54">
        <f>HLOOKUP($A49,SumEnc32x32[#All],AVG,FALSE)</f>
        <v>0.59682445000000006</v>
      </c>
      <c r="G49" s="54">
        <f>HLOOKUP($A49,SumEnc32x32[#All],MIN,FALSE)</f>
        <v>0.580542</v>
      </c>
      <c r="H49" s="54">
        <f>HLOOKUP($A49,SumEnc32x32[#All],MAX,FALSE)</f>
        <v>0.63985700000000001</v>
      </c>
      <c r="I49" s="54">
        <f>HLOOKUP($A49,SumEnc32x32[#All],MED,FALSE)</f>
        <v>0.58779049999999999</v>
      </c>
      <c r="J49" s="47">
        <f>VLOOKUP(SummaryEncryption[[#This Row],[Mode]],EncFileSummary[#All],8,FALSE)</f>
        <v>96</v>
      </c>
      <c r="O49" s="49" t="s">
        <v>1</v>
      </c>
      <c r="P49" s="18" t="s">
        <v>14</v>
      </c>
      <c r="Q49" s="47" t="str">
        <f>CONCATENATE(SummaryDecryption[[#This Row],[Mode]],"_",SummaryDecryption[[#This Row],[Key size (B)]])</f>
        <v>CBC_32B</v>
      </c>
      <c r="R49" s="13">
        <v>5000</v>
      </c>
      <c r="S49" s="47">
        <f>SummaryDecryption[[#This Row],[Test Size (KB)]]/SummaryDecryption[[#This Row],[Average (ms)]]/1000</f>
        <v>1.2908084242804674E-2</v>
      </c>
      <c r="T49" s="54">
        <f>HLOOKUP($A49,SumDec32x32[#All],AVG,FALSE)</f>
        <v>387.35415000000012</v>
      </c>
      <c r="U49" s="54">
        <f>HLOOKUP($A49,SumDec32x32[#All],MIN,FALSE)</f>
        <v>333.76</v>
      </c>
      <c r="V49" s="54">
        <f>HLOOKUP($A49,SumDec32x32[#All],MAX,FALSE)</f>
        <v>506.33600000000001</v>
      </c>
      <c r="W49" s="54">
        <f>HLOOKUP($A49,SumDec32x32[#All],MED,FALSE)</f>
        <v>364.55900000000003</v>
      </c>
      <c r="X49" s="47">
        <f>VLOOKUP(SummaryEncryption[[#This Row],[Mode]],DecFileSummary[#All],8,FALSE)</f>
        <v>32</v>
      </c>
    </row>
    <row r="50" spans="1:24" ht="17" thickTop="1" thickBot="1">
      <c r="A50" s="48" t="s">
        <v>3</v>
      </c>
      <c r="B50" s="13" t="s">
        <v>14</v>
      </c>
      <c r="C50" s="47" t="str">
        <f>CONCATENATE(SummaryEncryption[[#This Row],[Mode]],"_",SummaryEncryption[[#This Row],[Key size (B)]])</f>
        <v>CFB_32B</v>
      </c>
      <c r="D50" s="13">
        <v>5000</v>
      </c>
      <c r="E50" s="47">
        <f>SummaryEncryption[[#This Row],[Test Size (KB)]]/SummaryEncryption[[#This Row],[Average (ms)]]/1000</f>
        <v>8.3205114252270533</v>
      </c>
      <c r="F50" s="53">
        <f>HLOOKUP($A50,SumEnc32x32[#All],AVG,FALSE)</f>
        <v>0.60092460000000025</v>
      </c>
      <c r="G50" s="53">
        <f>HLOOKUP($A50,SumEnc32x32[#All],MIN,FALSE)</f>
        <v>0.58603700000000003</v>
      </c>
      <c r="H50" s="53">
        <f>HLOOKUP($A50,SumEnc32x32[#All],MAX,FALSE)</f>
        <v>0.67068899999999998</v>
      </c>
      <c r="I50" s="53">
        <f>HLOOKUP($A50,SumEnc32x32[#All],MED,FALSE)</f>
        <v>0.58867449999999999</v>
      </c>
      <c r="J50" s="47">
        <f>VLOOKUP(SummaryEncryption[[#This Row],[Mode]],EncFileSummary[#All],8,FALSE)</f>
        <v>64</v>
      </c>
      <c r="O50" s="48" t="s">
        <v>3</v>
      </c>
      <c r="P50" s="13" t="s">
        <v>14</v>
      </c>
      <c r="Q50" s="47" t="str">
        <f>CONCATENATE(SummaryDecryption[[#This Row],[Mode]],"_",SummaryDecryption[[#This Row],[Key size (B)]])</f>
        <v>CFB_32B</v>
      </c>
      <c r="R50" s="13">
        <v>5000</v>
      </c>
      <c r="S50" s="47">
        <f>SummaryDecryption[[#This Row],[Test Size (KB)]]/SummaryDecryption[[#This Row],[Average (ms)]]/1000</f>
        <v>4.6894166525124435E-3</v>
      </c>
      <c r="T50" s="53">
        <f>HLOOKUP($A50,SumDec32x32[#All],AVG,FALSE)</f>
        <v>1066.2307000000001</v>
      </c>
      <c r="U50" s="53">
        <f>HLOOKUP($A50,SumDec32x32[#All],MIN,FALSE)</f>
        <v>928.85500000000002</v>
      </c>
      <c r="V50" s="53">
        <f>HLOOKUP($A50,SumDec32x32[#All],MAX,FALSE)</f>
        <v>1367.75</v>
      </c>
      <c r="W50" s="53">
        <f>HLOOKUP($A50,SumDec32x32[#All],MED,FALSE)</f>
        <v>1031.1199999999999</v>
      </c>
      <c r="X50" s="47">
        <f>VLOOKUP(SummaryEncryption[[#This Row],[Mode]],DecFileSummary[#All],8,FALSE)</f>
        <v>32</v>
      </c>
    </row>
    <row r="51" spans="1:24" ht="17" thickTop="1" thickBot="1">
      <c r="A51" s="49" t="s">
        <v>2</v>
      </c>
      <c r="B51" s="18" t="s">
        <v>14</v>
      </c>
      <c r="C51" s="47" t="str">
        <f>CONCATENATE(SummaryEncryption[[#This Row],[Mode]],"_",SummaryEncryption[[#This Row],[Key size (B)]])</f>
        <v>OFB_32B</v>
      </c>
      <c r="D51" s="13">
        <v>5000</v>
      </c>
      <c r="E51" s="47">
        <f>SummaryEncryption[[#This Row],[Test Size (KB)]]/SummaryEncryption[[#This Row],[Average (ms)]]/1000</f>
        <v>8.2634486594000638</v>
      </c>
      <c r="F51" s="54">
        <f>HLOOKUP($A51,SumEnc32x32[#All],AVG,FALSE)</f>
        <v>0.60507425000000004</v>
      </c>
      <c r="G51" s="54">
        <f>HLOOKUP($A51,SumEnc32x32[#All],MIN,FALSE)</f>
        <v>0.58398099999999997</v>
      </c>
      <c r="H51" s="54">
        <f>HLOOKUP($A51,SumEnc32x32[#All],MAX,FALSE)</f>
        <v>0.74618200000000001</v>
      </c>
      <c r="I51" s="54">
        <f>HLOOKUP($A51,SumEnc32x32[#All],MED,FALSE)</f>
        <v>0.5922695</v>
      </c>
      <c r="J51" s="47">
        <f>VLOOKUP(SummaryEncryption[[#This Row],[Mode]],EncFileSummary[#All],8,FALSE)</f>
        <v>64</v>
      </c>
      <c r="O51" s="49" t="s">
        <v>2</v>
      </c>
      <c r="P51" s="18" t="s">
        <v>14</v>
      </c>
      <c r="Q51" s="47" t="str">
        <f>CONCATENATE(SummaryDecryption[[#This Row],[Mode]],"_",SummaryDecryption[[#This Row],[Key size (B)]])</f>
        <v>OFB_32B</v>
      </c>
      <c r="R51" s="13">
        <v>5000</v>
      </c>
      <c r="S51" s="47">
        <f>SummaryDecryption[[#This Row],[Test Size (KB)]]/SummaryDecryption[[#This Row],[Average (ms)]]/1000</f>
        <v>6.0983031837289464E-3</v>
      </c>
      <c r="T51" s="54">
        <f>HLOOKUP($A51,SumDec32x32[#All],AVG,FALSE)</f>
        <v>819.90020000000004</v>
      </c>
      <c r="U51" s="54">
        <f>HLOOKUP($A51,SumDec32x32[#All],MIN,FALSE)</f>
        <v>710.62099999999998</v>
      </c>
      <c r="V51" s="54">
        <f>HLOOKUP($A51,SumDec32x32[#All],MAX,FALSE)</f>
        <v>1094.99</v>
      </c>
      <c r="W51" s="54">
        <f>HLOOKUP($A51,SumDec32x32[#All],MED,FALSE)</f>
        <v>818.62249999999995</v>
      </c>
      <c r="X51" s="47">
        <f>VLOOKUP(SummaryEncryption[[#This Row],[Mode]],DecFileSummary[#All],8,FALSE)</f>
        <v>32</v>
      </c>
    </row>
    <row r="52" spans="1:24" ht="17" thickTop="1" thickBot="1">
      <c r="A52" s="48" t="s">
        <v>4</v>
      </c>
      <c r="B52" s="13" t="s">
        <v>14</v>
      </c>
      <c r="C52" s="47" t="str">
        <f>CONCATENATE(SummaryEncryption[[#This Row],[Mode]],"_",SummaryEncryption[[#This Row],[Key size (B)]])</f>
        <v>CTR_32B</v>
      </c>
      <c r="D52" s="13">
        <v>5000</v>
      </c>
      <c r="E52" s="47">
        <f>SummaryEncryption[[#This Row],[Test Size (KB)]]/SummaryEncryption[[#This Row],[Average (ms)]]/1000</f>
        <v>8.4517286700976744</v>
      </c>
      <c r="F52" s="53">
        <f>HLOOKUP($A52,SumEnc32x32[#All],AVG,FALSE)</f>
        <v>0.59159494999999995</v>
      </c>
      <c r="G52" s="53">
        <f>HLOOKUP($A52,SumEnc32x32[#All],MIN,FALSE)</f>
        <v>0.58213800000000004</v>
      </c>
      <c r="H52" s="53">
        <f>HLOOKUP($A52,SumEnc32x32[#All],MAX,FALSE)</f>
        <v>0.619861</v>
      </c>
      <c r="I52" s="53">
        <f>HLOOKUP($A52,SumEnc32x32[#All],MED,FALSE)</f>
        <v>0.58722750000000001</v>
      </c>
      <c r="J52" s="47">
        <f>VLOOKUP(SummaryEncryption[[#This Row],[Mode]],EncFileSummary[#All],8,FALSE)</f>
        <v>64</v>
      </c>
      <c r="O52" s="48" t="s">
        <v>4</v>
      </c>
      <c r="P52" s="13" t="s">
        <v>14</v>
      </c>
      <c r="Q52" s="47" t="str">
        <f>CONCATENATE(SummaryDecryption[[#This Row],[Mode]],"_",SummaryDecryption[[#This Row],[Key size (B)]])</f>
        <v>CTR_32B</v>
      </c>
      <c r="R52" s="13">
        <v>5000</v>
      </c>
      <c r="S52" s="47">
        <f>SummaryDecryption[[#This Row],[Test Size (KB)]]/SummaryDecryption[[#This Row],[Average (ms)]]/1000</f>
        <v>6.2006044349203152E-3</v>
      </c>
      <c r="T52" s="53">
        <f>HLOOKUP($A52,SumDec32x32[#All],AVG,FALSE)</f>
        <v>806.37300000000016</v>
      </c>
      <c r="U52" s="53">
        <f>HLOOKUP($A52,SumDec32x32[#All],MIN,FALSE)</f>
        <v>714.851</v>
      </c>
      <c r="V52" s="53">
        <f>HLOOKUP($A52,SumDec32x32[#All],MAX,FALSE)</f>
        <v>1025.73</v>
      </c>
      <c r="W52" s="53">
        <f>HLOOKUP($A52,SumDec32x32[#All],MED,FALSE)</f>
        <v>782.93049999999994</v>
      </c>
      <c r="X52" s="47">
        <f>VLOOKUP(SummaryEncryption[[#This Row],[Mode]],DecFileSummary[#All],8,FALSE)</f>
        <v>32</v>
      </c>
    </row>
    <row r="53" spans="1:24" ht="17" thickTop="1" thickBot="1">
      <c r="A53" s="49" t="s">
        <v>0</v>
      </c>
      <c r="B53" s="18" t="s">
        <v>14</v>
      </c>
      <c r="C53" s="47" t="str">
        <f>CONCATENATE(SummaryEncryption[[#This Row],[Mode]],"_",SummaryEncryption[[#This Row],[Key size (B)]])</f>
        <v>ECB_32B</v>
      </c>
      <c r="D53" s="18">
        <v>10000</v>
      </c>
      <c r="E53" s="47">
        <f>SummaryEncryption[[#This Row],[Test Size (KB)]]/SummaryEncryption[[#This Row],[Average (ms)]]/1000</f>
        <v>6.0504669447864635E-3</v>
      </c>
      <c r="F53" s="54">
        <f>HLOOKUP($A53,SumEnc32x10[#All],AVG,FALSE)</f>
        <v>1652.7650000000001</v>
      </c>
      <c r="G53" s="54">
        <f>HLOOKUP($A53,SumEnc32x10[#All],MIN,FALSE)</f>
        <v>1351.22</v>
      </c>
      <c r="H53" s="54">
        <f>HLOOKUP($A53,SumEnc32x10[#All],MAX,FALSE)</f>
        <v>1886.66</v>
      </c>
      <c r="I53" s="54">
        <f>HLOOKUP($A53,SumEnc32x10[#All],MED,FALSE)</f>
        <v>1649.07</v>
      </c>
      <c r="J53" s="47">
        <f>VLOOKUP(SummaryEncryption[[#This Row],[Mode]],EncFileSummary[#All],10,FALSE)</f>
        <v>20971552</v>
      </c>
      <c r="O53" s="49" t="s">
        <v>0</v>
      </c>
      <c r="P53" s="18" t="s">
        <v>14</v>
      </c>
      <c r="Q53" s="47" t="str">
        <f>CONCATENATE(SummaryDecryption[[#This Row],[Mode]],"_",SummaryDecryption[[#This Row],[Key size (B)]])</f>
        <v>ECB_32B</v>
      </c>
      <c r="R53" s="18">
        <v>10000</v>
      </c>
      <c r="S53" s="47">
        <f>SummaryDecryption[[#This Row],[Test Size (KB)]]/SummaryDecryption[[#This Row],[Average (ms)]]/1000</f>
        <v>9.8226684202094329E-3</v>
      </c>
      <c r="T53" s="54">
        <f>HLOOKUP($A53,SumDec32x10[#All],AVG,FALSE)</f>
        <v>1018.0532999999999</v>
      </c>
      <c r="U53" s="54">
        <f>HLOOKUP($A53,SumDec32x10[#All],MIN,FALSE)</f>
        <v>691.39300000000003</v>
      </c>
      <c r="V53" s="54">
        <f>HLOOKUP($A53,SumDec32x10[#All],MAX,FALSE)</f>
        <v>1444.69</v>
      </c>
      <c r="W53" s="54">
        <f>HLOOKUP($A53,SumDec32x10[#All],MED,FALSE)</f>
        <v>1015.683</v>
      </c>
      <c r="X53" s="47">
        <f>VLOOKUP(SummaryEncryption[[#This Row],[Mode]],DecFileSummary[#All],10,FALSE)</f>
        <v>10485760</v>
      </c>
    </row>
    <row r="54" spans="1:24" ht="17" thickTop="1" thickBot="1">
      <c r="A54" s="48" t="s">
        <v>1</v>
      </c>
      <c r="B54" s="13" t="s">
        <v>14</v>
      </c>
      <c r="C54" s="47" t="str">
        <f>CONCATENATE(SummaryEncryption[[#This Row],[Mode]],"_",SummaryEncryption[[#This Row],[Key size (B)]])</f>
        <v>CBC_32B</v>
      </c>
      <c r="D54" s="13">
        <v>10000</v>
      </c>
      <c r="E54" s="47">
        <f>SummaryEncryption[[#This Row],[Test Size (KB)]]/SummaryEncryption[[#This Row],[Average (ms)]]/1000</f>
        <v>6.3247946497297116</v>
      </c>
      <c r="F54" s="53">
        <f>HLOOKUP($A54,SumEnc32x10[#All],AVG,FALSE)</f>
        <v>1.5810789999999997</v>
      </c>
      <c r="G54" s="53">
        <f>HLOOKUP($A54,SumEnc32x10[#All],MIN,FALSE)</f>
        <v>1.2831399999999999</v>
      </c>
      <c r="H54" s="53">
        <f>HLOOKUP($A54,SumEnc32x10[#All],MAX,FALSE)</f>
        <v>1.96787</v>
      </c>
      <c r="I54" s="53">
        <f>HLOOKUP($A54,SumEnc32x10[#All],MED,FALSE)</f>
        <v>1.5574049999999999</v>
      </c>
      <c r="J54" s="47">
        <f>VLOOKUP(SummaryEncryption[[#This Row],[Mode]],EncFileSummary[#All],10,FALSE)</f>
        <v>20971552</v>
      </c>
      <c r="O54" s="48" t="s">
        <v>1</v>
      </c>
      <c r="P54" s="13" t="s">
        <v>14</v>
      </c>
      <c r="Q54" s="47" t="str">
        <f>CONCATENATE(SummaryDecryption[[#This Row],[Mode]],"_",SummaryDecryption[[#This Row],[Key size (B)]])</f>
        <v>CBC_32B</v>
      </c>
      <c r="R54" s="13">
        <v>10000</v>
      </c>
      <c r="S54" s="47">
        <f>SummaryDecryption[[#This Row],[Test Size (KB)]]/SummaryDecryption[[#This Row],[Average (ms)]]/1000</f>
        <v>9.9171914513809713E-3</v>
      </c>
      <c r="T54" s="53">
        <f>HLOOKUP($A54,SumDec32x10[#All],AVG,FALSE)</f>
        <v>1008.3499999999998</v>
      </c>
      <c r="U54" s="53">
        <f>HLOOKUP($A54,SumDec32x10[#All],MIN,FALSE)</f>
        <v>701.52300000000002</v>
      </c>
      <c r="V54" s="53">
        <f>HLOOKUP($A54,SumDec32x10[#All],MAX,FALSE)</f>
        <v>1183.5899999999999</v>
      </c>
      <c r="W54" s="53">
        <f>HLOOKUP($A54,SumDec32x10[#All],MED,FALSE)</f>
        <v>1059.125</v>
      </c>
      <c r="X54" s="47">
        <f>VLOOKUP(SummaryEncryption[[#This Row],[Mode]],DecFileSummary[#All],10,FALSE)</f>
        <v>10485760</v>
      </c>
    </row>
    <row r="55" spans="1:24" ht="17" thickTop="1" thickBot="1">
      <c r="A55" s="49" t="s">
        <v>3</v>
      </c>
      <c r="B55" s="18" t="s">
        <v>14</v>
      </c>
      <c r="C55" s="47" t="str">
        <f>CONCATENATE(SummaryEncryption[[#This Row],[Mode]],"_",SummaryEncryption[[#This Row],[Key size (B)]])</f>
        <v>CFB_32B</v>
      </c>
      <c r="D55" s="18">
        <v>10000</v>
      </c>
      <c r="E55" s="47">
        <f>SummaryEncryption[[#This Row],[Test Size (KB)]]/SummaryEncryption[[#This Row],[Average (ms)]]/1000</f>
        <v>6.3172031972628826</v>
      </c>
      <c r="F55" s="54">
        <f>HLOOKUP($A55,SumEnc32x10[#All],AVG,FALSE)</f>
        <v>1.5829789999999999</v>
      </c>
      <c r="G55" s="54">
        <f>HLOOKUP($A55,SumEnc32x10[#All],MIN,FALSE)</f>
        <v>1.3482099999999999</v>
      </c>
      <c r="H55" s="54">
        <f>HLOOKUP($A55,SumEnc32x10[#All],MAX,FALSE)</f>
        <v>1.82683</v>
      </c>
      <c r="I55" s="54">
        <f>HLOOKUP($A55,SumEnc32x10[#All],MED,FALSE)</f>
        <v>1.5678450000000002</v>
      </c>
      <c r="J55" s="47">
        <f>VLOOKUP(SummaryEncryption[[#This Row],[Mode]],EncFileSummary[#All],10,FALSE)</f>
        <v>20971520</v>
      </c>
      <c r="O55" s="49" t="s">
        <v>3</v>
      </c>
      <c r="P55" s="18" t="s">
        <v>14</v>
      </c>
      <c r="Q55" s="47" t="str">
        <f>CONCATENATE(SummaryDecryption[[#This Row],[Mode]],"_",SummaryDecryption[[#This Row],[Key size (B)]])</f>
        <v>CFB_32B</v>
      </c>
      <c r="R55" s="18">
        <v>10000</v>
      </c>
      <c r="S55" s="47">
        <f>SummaryDecryption[[#This Row],[Test Size (KB)]]/SummaryDecryption[[#This Row],[Average (ms)]]/1000</f>
        <v>4.9332993264566425E-3</v>
      </c>
      <c r="T55" s="54">
        <f>HLOOKUP($A55,SumDec32x10[#All],AVG,FALSE)</f>
        <v>2027.0410000000004</v>
      </c>
      <c r="U55" s="54">
        <f>HLOOKUP($A55,SumDec32x10[#All],MIN,FALSE)</f>
        <v>1547.85</v>
      </c>
      <c r="V55" s="54">
        <f>HLOOKUP($A55,SumDec32x10[#All],MAX,FALSE)</f>
        <v>2555.63</v>
      </c>
      <c r="W55" s="54">
        <f>HLOOKUP($A55,SumDec32x10[#All],MED,FALSE)</f>
        <v>1973.02</v>
      </c>
      <c r="X55" s="47">
        <f>VLOOKUP(SummaryEncryption[[#This Row],[Mode]],DecFileSummary[#All],10,FALSE)</f>
        <v>10485760</v>
      </c>
    </row>
    <row r="56" spans="1:24" ht="17" thickTop="1" thickBot="1">
      <c r="A56" s="48" t="s">
        <v>2</v>
      </c>
      <c r="B56" s="13" t="s">
        <v>14</v>
      </c>
      <c r="C56" s="47" t="str">
        <f>CONCATENATE(SummaryEncryption[[#This Row],[Mode]],"_",SummaryEncryption[[#This Row],[Key size (B)]])</f>
        <v>OFB_32B</v>
      </c>
      <c r="D56" s="13">
        <v>10000</v>
      </c>
      <c r="E56" s="47">
        <f>SummaryEncryption[[#This Row],[Test Size (KB)]]/SummaryEncryption[[#This Row],[Average (ms)]]/1000</f>
        <v>6.2713854242968532</v>
      </c>
      <c r="F56" s="53">
        <f>HLOOKUP($A56,SumEnc32x10[#All],AVG,FALSE)</f>
        <v>1.594544</v>
      </c>
      <c r="G56" s="53">
        <f>HLOOKUP($A56,SumEnc32x10[#All],MIN,FALSE)</f>
        <v>1.3989</v>
      </c>
      <c r="H56" s="53">
        <f>HLOOKUP($A56,SumEnc32x10[#All],MAX,FALSE)</f>
        <v>1.9529300000000001</v>
      </c>
      <c r="I56" s="53">
        <f>HLOOKUP($A56,SumEnc32x10[#All],MED,FALSE)</f>
        <v>1.538645</v>
      </c>
      <c r="J56" s="47">
        <f>VLOOKUP(SummaryEncryption[[#This Row],[Mode]],EncFileSummary[#All],10,FALSE)</f>
        <v>20971520</v>
      </c>
      <c r="O56" s="48" t="s">
        <v>2</v>
      </c>
      <c r="P56" s="13" t="s">
        <v>14</v>
      </c>
      <c r="Q56" s="47" t="str">
        <f>CONCATENATE(SummaryDecryption[[#This Row],[Mode]],"_",SummaryDecryption[[#This Row],[Key size (B)]])</f>
        <v>OFB_32B</v>
      </c>
      <c r="R56" s="13">
        <v>10000</v>
      </c>
      <c r="S56" s="47">
        <f>SummaryDecryption[[#This Row],[Test Size (KB)]]/SummaryDecryption[[#This Row],[Average (ms)]]/1000</f>
        <v>4.9237410978760941E-3</v>
      </c>
      <c r="T56" s="53">
        <f>HLOOKUP($A56,SumDec32x10[#All],AVG,FALSE)</f>
        <v>2030.9760000000001</v>
      </c>
      <c r="U56" s="53">
        <f>HLOOKUP($A56,SumDec32x10[#All],MIN,FALSE)</f>
        <v>1523.98</v>
      </c>
      <c r="V56" s="53">
        <f>HLOOKUP($A56,SumDec32x10[#All],MAX,FALSE)</f>
        <v>2340.9499999999998</v>
      </c>
      <c r="W56" s="53">
        <f>HLOOKUP($A56,SumDec32x10[#All],MED,FALSE)</f>
        <v>2192.71</v>
      </c>
      <c r="X56" s="47">
        <f>VLOOKUP(SummaryEncryption[[#This Row],[Mode]],DecFileSummary[#All],10,FALSE)</f>
        <v>10485760</v>
      </c>
    </row>
    <row r="57" spans="1:24" ht="17" thickTop="1" thickBot="1">
      <c r="A57" s="49" t="s">
        <v>4</v>
      </c>
      <c r="B57" s="18" t="s">
        <v>14</v>
      </c>
      <c r="C57" s="47" t="str">
        <f>CONCATENATE(SummaryEncryption[[#This Row],[Mode]],"_",SummaryEncryption[[#This Row],[Key size (B)]])</f>
        <v>CTR_32B</v>
      </c>
      <c r="D57" s="18">
        <v>10000</v>
      </c>
      <c r="E57" s="47">
        <f>SummaryEncryption[[#This Row],[Test Size (KB)]]/SummaryEncryption[[#This Row],[Average (ms)]]/1000</f>
        <v>6.25245408822963</v>
      </c>
      <c r="F57" s="54">
        <f>HLOOKUP($A57,SumEnc32x10[#All],AVG,FALSE)</f>
        <v>1.599372</v>
      </c>
      <c r="G57" s="54">
        <f>HLOOKUP($A57,SumEnc32x10[#All],MIN,FALSE)</f>
        <v>1.3454600000000001</v>
      </c>
      <c r="H57" s="54">
        <f>HLOOKUP($A57,SumEnc32x10[#All],MAX,FALSE)</f>
        <v>1.8720000000000001</v>
      </c>
      <c r="I57" s="54">
        <f>HLOOKUP($A57,SumEnc32x10[#All],MED,FALSE)</f>
        <v>1.58107</v>
      </c>
      <c r="J57" s="47">
        <f>VLOOKUP(SummaryEncryption[[#This Row],[Mode]],EncFileSummary[#All],10,FALSE)</f>
        <v>20971520</v>
      </c>
      <c r="O57" s="49" t="s">
        <v>4</v>
      </c>
      <c r="P57" s="18" t="s">
        <v>14</v>
      </c>
      <c r="Q57" s="47" t="str">
        <f>CONCATENATE(SummaryDecryption[[#This Row],[Mode]],"_",SummaryDecryption[[#This Row],[Key size (B)]])</f>
        <v>CTR_32B</v>
      </c>
      <c r="R57" s="18">
        <v>10000</v>
      </c>
      <c r="S57" s="47">
        <f>SummaryDecryption[[#This Row],[Test Size (KB)]]/SummaryDecryption[[#This Row],[Average (ms)]]/1000</f>
        <v>5.2072837402044481E-3</v>
      </c>
      <c r="T57" s="54">
        <f>HLOOKUP($A57,SumDec32x10[#All],AVG,FALSE)</f>
        <v>1920.3869999999999</v>
      </c>
      <c r="U57" s="54">
        <f>HLOOKUP($A57,SumDec32x10[#All],MIN,FALSE)</f>
        <v>1484.15</v>
      </c>
      <c r="V57" s="54">
        <f>HLOOKUP($A57,SumDec32x10[#All],MAX,FALSE)</f>
        <v>2301.23</v>
      </c>
      <c r="W57" s="54">
        <f>HLOOKUP($A57,SumDec32x10[#All],MED,FALSE)</f>
        <v>1904.5250000000001</v>
      </c>
      <c r="X57" s="47">
        <f>VLOOKUP(SummaryEncryption[[#This Row],[Mode]],DecFileSummary[#All],10,FALSE)</f>
        <v>10485760</v>
      </c>
    </row>
    <row r="58" spans="1:24" ht="17" thickTop="1" thickBot="1">
      <c r="A58" s="48" t="s">
        <v>0</v>
      </c>
      <c r="B58" s="13" t="s">
        <v>14</v>
      </c>
      <c r="C58" s="47" t="str">
        <f>CONCATENATE(SummaryEncryption[[#This Row],[Mode]],"_",SummaryEncryption[[#This Row],[Key size (B)]])</f>
        <v>ECB_32B</v>
      </c>
      <c r="D58" s="13">
        <v>256000</v>
      </c>
      <c r="E58" s="47">
        <f>SummaryEncryption[[#This Row],[Test Size (KB)]]/SummaryEncryption[[#This Row],[Average (ms)]]/1000</f>
        <v>8.4045862776743994E-3</v>
      </c>
      <c r="F58" s="53">
        <f>HLOOKUP($A58,SumEnc32x256[#All],AVG,FALSE)</f>
        <v>30459.559999999998</v>
      </c>
      <c r="G58" s="53">
        <f>HLOOKUP($A58,SumEnc32x256[#All],MIN,FALSE)</f>
        <v>29912.3</v>
      </c>
      <c r="H58" s="53">
        <f>HLOOKUP($A58,SumEnc32x256[#All],MAX,FALSE)</f>
        <v>32149.7</v>
      </c>
      <c r="I58" s="53">
        <f>HLOOKUP($A58,SumEnc32x256[#All],MED,FALSE)</f>
        <v>30185.449999999997</v>
      </c>
      <c r="J58" s="47">
        <f>VLOOKUP(SummaryEncryption[[#This Row],[Mode]],EncFileSummary[#All],14,FALSE)</f>
        <v>536870944</v>
      </c>
      <c r="O58" s="48" t="s">
        <v>0</v>
      </c>
      <c r="P58" s="13" t="s">
        <v>14</v>
      </c>
      <c r="Q58" s="47" t="str">
        <f>CONCATENATE(SummaryDecryption[[#This Row],[Mode]],"_",SummaryDecryption[[#This Row],[Key size (B)]])</f>
        <v>ECB_32B</v>
      </c>
      <c r="R58" s="13">
        <v>256000</v>
      </c>
      <c r="S58" s="47">
        <f>SummaryDecryption[[#This Row],[Test Size (KB)]]/SummaryDecryption[[#This Row],[Average (ms)]]/1000</f>
        <v>1.4185623314071914E-2</v>
      </c>
      <c r="T58" s="53">
        <f>HLOOKUP($A58,SumDec32x256[#All],AVG,FALSE)</f>
        <v>18046.440000000002</v>
      </c>
      <c r="U58" s="53">
        <f>HLOOKUP($A58,SumDec32x256[#All],MIN,FALSE)</f>
        <v>17056.7</v>
      </c>
      <c r="V58" s="53">
        <f>HLOOKUP($A58,SumDec32x256[#All],MAX,FALSE)</f>
        <v>19476.5</v>
      </c>
      <c r="W58" s="53">
        <f>HLOOKUP($A58,SumDec32x256[#All],MED,FALSE)</f>
        <v>18076.650000000001</v>
      </c>
      <c r="X58" s="47">
        <f>VLOOKUP(SummaryEncryption[[#This Row],[Mode]],DecFileSummary[#All],14,FALSE)</f>
        <v>268435456</v>
      </c>
    </row>
    <row r="59" spans="1:24" ht="17" thickTop="1" thickBot="1">
      <c r="A59" s="49" t="s">
        <v>1</v>
      </c>
      <c r="B59" s="18" t="s">
        <v>14</v>
      </c>
      <c r="C59" s="47" t="str">
        <f>CONCATENATE(SummaryEncryption[[#This Row],[Mode]],"_",SummaryEncryption[[#This Row],[Key size (B)]])</f>
        <v>CBC_32B</v>
      </c>
      <c r="D59" s="18">
        <v>256000</v>
      </c>
      <c r="E59" s="47">
        <f>SummaryEncryption[[#This Row],[Test Size (KB)]]/SummaryEncryption[[#This Row],[Average (ms)]]/1000</f>
        <v>8.3838657743089531</v>
      </c>
      <c r="F59" s="54">
        <f>HLOOKUP($A59,SumEnc32x256[#All],AVG,FALSE)</f>
        <v>30.534840000000003</v>
      </c>
      <c r="G59" s="54">
        <f>HLOOKUP($A59,SumEnc32x256[#All],MIN,FALSE)</f>
        <v>30.047599999999999</v>
      </c>
      <c r="H59" s="54">
        <f>HLOOKUP($A59,SumEnc32x256[#All],MAX,FALSE)</f>
        <v>31.240500000000001</v>
      </c>
      <c r="I59" s="54">
        <f>HLOOKUP($A59,SumEnc32x256[#All],MED,FALSE)</f>
        <v>30.524100000000001</v>
      </c>
      <c r="J59" s="47">
        <f>VLOOKUP(SummaryEncryption[[#This Row],[Mode]],EncFileSummary[#All],14,FALSE)</f>
        <v>536870944</v>
      </c>
      <c r="O59" s="49" t="s">
        <v>1</v>
      </c>
      <c r="P59" s="18" t="s">
        <v>14</v>
      </c>
      <c r="Q59" s="47" t="str">
        <f>CONCATENATE(SummaryDecryption[[#This Row],[Mode]],"_",SummaryDecryption[[#This Row],[Key size (B)]])</f>
        <v>CBC_32B</v>
      </c>
      <c r="R59" s="18">
        <v>256000</v>
      </c>
      <c r="S59" s="47">
        <f>SummaryDecryption[[#This Row],[Test Size (KB)]]/SummaryDecryption[[#This Row],[Average (ms)]]/1000</f>
        <v>1.3998426270671601E-2</v>
      </c>
      <c r="T59" s="54">
        <f>HLOOKUP($A59,SumDec32x256[#All],AVG,FALSE)</f>
        <v>18287.77</v>
      </c>
      <c r="U59" s="54">
        <f>HLOOKUP($A59,SumDec32x256[#All],MIN,FALSE)</f>
        <v>17562.2</v>
      </c>
      <c r="V59" s="54">
        <f>HLOOKUP($A59,SumDec32x256[#All],MAX,FALSE)</f>
        <v>19662.7</v>
      </c>
      <c r="W59" s="54">
        <f>HLOOKUP($A59,SumDec32x256[#All],MED,FALSE)</f>
        <v>18178.5</v>
      </c>
      <c r="X59" s="47">
        <f>VLOOKUP(SummaryEncryption[[#This Row],[Mode]],DecFileSummary[#All],14,FALSE)</f>
        <v>268435456</v>
      </c>
    </row>
    <row r="60" spans="1:24" ht="17" thickTop="1" thickBot="1">
      <c r="A60" s="48" t="s">
        <v>3</v>
      </c>
      <c r="B60" s="13" t="s">
        <v>14</v>
      </c>
      <c r="C60" s="47" t="str">
        <f>CONCATENATE(SummaryEncryption[[#This Row],[Mode]],"_",SummaryEncryption[[#This Row],[Key size (B)]])</f>
        <v>CFB_32B</v>
      </c>
      <c r="D60" s="13">
        <v>256000</v>
      </c>
      <c r="E60" s="47">
        <f>SummaryEncryption[[#This Row],[Test Size (KB)]]/SummaryEncryption[[#This Row],[Average (ms)]]/1000</f>
        <v>8.412952397477822</v>
      </c>
      <c r="F60" s="53">
        <f>HLOOKUP($A60,SumEnc32x256[#All],AVG,FALSE)</f>
        <v>30.429270000000002</v>
      </c>
      <c r="G60" s="53">
        <f>HLOOKUP($A60,SumEnc32x256[#All],MIN,FALSE)</f>
        <v>30.107800000000001</v>
      </c>
      <c r="H60" s="53">
        <f>HLOOKUP($A60,SumEnc32x256[#All],MAX,FALSE)</f>
        <v>31.154900000000001</v>
      </c>
      <c r="I60" s="53">
        <f>HLOOKUP($A60,SumEnc32x256[#All],MED,FALSE)</f>
        <v>30.406849999999999</v>
      </c>
      <c r="J60" s="47">
        <f>VLOOKUP(SummaryEncryption[[#This Row],[Mode]],EncFileSummary[#All],14,FALSE)</f>
        <v>536870912</v>
      </c>
      <c r="O60" s="48" t="s">
        <v>3</v>
      </c>
      <c r="P60" s="13" t="s">
        <v>14</v>
      </c>
      <c r="Q60" s="47" t="str">
        <f>CONCATENATE(SummaryDecryption[[#This Row],[Mode]],"_",SummaryDecryption[[#This Row],[Key size (B)]])</f>
        <v>CFB_32B</v>
      </c>
      <c r="R60" s="13">
        <v>256000</v>
      </c>
      <c r="S60" s="47">
        <f>SummaryDecryption[[#This Row],[Test Size (KB)]]/SummaryDecryption[[#This Row],[Average (ms)]]/1000</f>
        <v>6.4479160763423176E-3</v>
      </c>
      <c r="T60" s="53">
        <f>HLOOKUP($A60,SumDec32x256[#All],AVG,FALSE)</f>
        <v>39702.750000000007</v>
      </c>
      <c r="U60" s="53">
        <f>HLOOKUP($A60,SumDec32x256[#All],MIN,FALSE)</f>
        <v>38498.300000000003</v>
      </c>
      <c r="V60" s="53">
        <f>HLOOKUP($A60,SumDec32x256[#All],MAX,FALSE)</f>
        <v>42343.199999999997</v>
      </c>
      <c r="W60" s="53">
        <f>HLOOKUP($A60,SumDec32x256[#All],MED,FALSE)</f>
        <v>39266.550000000003</v>
      </c>
      <c r="X60" s="47">
        <f>VLOOKUP(SummaryEncryption[[#This Row],[Mode]],DecFileSummary[#All],14,FALSE)</f>
        <v>268435456</v>
      </c>
    </row>
    <row r="61" spans="1:24" ht="17" thickTop="1" thickBot="1">
      <c r="A61" s="49" t="s">
        <v>2</v>
      </c>
      <c r="B61" s="18" t="s">
        <v>14</v>
      </c>
      <c r="C61" s="47" t="str">
        <f>CONCATENATE(SummaryEncryption[[#This Row],[Mode]],"_",SummaryEncryption[[#This Row],[Key size (B)]])</f>
        <v>OFB_32B</v>
      </c>
      <c r="D61" s="18">
        <v>256000</v>
      </c>
      <c r="E61" s="47">
        <f>SummaryEncryption[[#This Row],[Test Size (KB)]]/SummaryEncryption[[#This Row],[Average (ms)]]/1000</f>
        <v>8.4328058547389908</v>
      </c>
      <c r="F61" s="54">
        <f>HLOOKUP($A61,SumEnc32x256[#All],AVG,FALSE)</f>
        <v>30.35763</v>
      </c>
      <c r="G61" s="54">
        <f>HLOOKUP($A61,SumEnc32x256[#All],MIN,FALSE)</f>
        <v>30.082699999999999</v>
      </c>
      <c r="H61" s="54">
        <f>HLOOKUP($A61,SumEnc32x256[#All],MAX,FALSE)</f>
        <v>30.884399999999999</v>
      </c>
      <c r="I61" s="54">
        <f>HLOOKUP($A61,SumEnc32x256[#All],MED,FALSE)</f>
        <v>30.306849999999997</v>
      </c>
      <c r="J61" s="47">
        <f>VLOOKUP(SummaryEncryption[[#This Row],[Mode]],EncFileSummary[#All],14,FALSE)</f>
        <v>536870912</v>
      </c>
      <c r="O61" s="49" t="s">
        <v>2</v>
      </c>
      <c r="P61" s="18" t="s">
        <v>14</v>
      </c>
      <c r="Q61" s="47" t="str">
        <f>CONCATENATE(SummaryDecryption[[#This Row],[Mode]],"_",SummaryDecryption[[#This Row],[Key size (B)]])</f>
        <v>OFB_32B</v>
      </c>
      <c r="R61" s="18">
        <v>256000</v>
      </c>
      <c r="S61" s="47">
        <f>SummaryDecryption[[#This Row],[Test Size (KB)]]/SummaryDecryption[[#This Row],[Average (ms)]]/1000</f>
        <v>6.6517245375362546E-3</v>
      </c>
      <c r="T61" s="54">
        <f>HLOOKUP($A61,SumDec32x256[#All],AVG,FALSE)</f>
        <v>38486.259999999995</v>
      </c>
      <c r="U61" s="54">
        <f>HLOOKUP($A61,SumDec32x256[#All],MIN,FALSE)</f>
        <v>36217.4</v>
      </c>
      <c r="V61" s="54">
        <f>HLOOKUP($A61,SumDec32x256[#All],MAX,FALSE)</f>
        <v>43328.2</v>
      </c>
      <c r="W61" s="54">
        <f>HLOOKUP($A61,SumDec32x256[#All],MED,FALSE)</f>
        <v>37419.4</v>
      </c>
      <c r="X61" s="47">
        <f>VLOOKUP(SummaryEncryption[[#This Row],[Mode]],DecFileSummary[#All],14,FALSE)</f>
        <v>268435456</v>
      </c>
    </row>
    <row r="62" spans="1:24" ht="16" thickTop="1">
      <c r="A62" s="48" t="s">
        <v>4</v>
      </c>
      <c r="B62" s="13" t="s">
        <v>14</v>
      </c>
      <c r="C62" s="47" t="str">
        <f>CONCATENATE(SummaryEncryption[[#This Row],[Mode]],"_",SummaryEncryption[[#This Row],[Key size (B)]])</f>
        <v>CTR_32B</v>
      </c>
      <c r="D62" s="13">
        <v>256000</v>
      </c>
      <c r="E62" s="47">
        <f>SummaryEncryption[[#This Row],[Test Size (KB)]]/SummaryEncryption[[#This Row],[Average (ms)]]/1000</f>
        <v>8.4449791465095014</v>
      </c>
      <c r="F62" s="53">
        <f>HLOOKUP($A62,SumEnc32x256[#All],AVG,FALSE)</f>
        <v>30.313869999999998</v>
      </c>
      <c r="G62" s="53">
        <f>HLOOKUP($A62,SumEnc32x256[#All],MIN,FALSE)</f>
        <v>30.020499999999998</v>
      </c>
      <c r="H62" s="53">
        <f>HLOOKUP($A62,SumEnc32x256[#All],MAX,FALSE)</f>
        <v>30.887599999999999</v>
      </c>
      <c r="I62" s="53">
        <f>HLOOKUP($A62,SumEnc32x256[#All],MED,FALSE)</f>
        <v>30.2834</v>
      </c>
      <c r="J62" s="47">
        <f>VLOOKUP(SummaryEncryption[[#This Row],[Mode]],EncFileSummary[#All],14,FALSE)</f>
        <v>536870912</v>
      </c>
      <c r="O62" s="48" t="s">
        <v>4</v>
      </c>
      <c r="P62" s="13" t="s">
        <v>14</v>
      </c>
      <c r="Q62" s="47" t="str">
        <f>CONCATENATE(SummaryDecryption[[#This Row],[Mode]],"_",SummaryDecryption[[#This Row],[Key size (B)]])</f>
        <v>CTR_32B</v>
      </c>
      <c r="R62" s="13">
        <v>256000</v>
      </c>
      <c r="S62" s="47">
        <f>SummaryDecryption[[#This Row],[Test Size (KB)]]/SummaryDecryption[[#This Row],[Average (ms)]]/1000</f>
        <v>6.7367410541473455E-3</v>
      </c>
      <c r="T62" s="53">
        <f>HLOOKUP($A62,SumDec32x256[#All],AVG,FALSE)</f>
        <v>38000.57</v>
      </c>
      <c r="U62" s="53">
        <f>HLOOKUP($A62,SumDec32x256[#All],MIN,FALSE)</f>
        <v>36630.1</v>
      </c>
      <c r="V62" s="53">
        <f>HLOOKUP($A62,SumDec32x256[#All],MAX,FALSE)</f>
        <v>39906.9</v>
      </c>
      <c r="W62" s="53">
        <f>HLOOKUP($A62,SumDec32x256[#All],MED,FALSE)</f>
        <v>37587.300000000003</v>
      </c>
      <c r="X62" s="47">
        <f>VLOOKUP(SummaryEncryption[[#This Row],[Mode]],DecFileSummary[#All],14,FALSE)</f>
        <v>268435456</v>
      </c>
    </row>
    <row r="63" spans="1:24"/>
    <row r="64" spans="1:2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/>
    <row r="1048546"/>
    <row r="1048547"/>
    <row r="1048548"/>
    <row r="1048549"/>
    <row r="1048550"/>
    <row r="1048551"/>
    <row r="1048552"/>
    <row r="1048553"/>
    <row r="1048554"/>
    <row r="1048555"/>
    <row r="1048556"/>
    <row r="1048557"/>
    <row r="1048558"/>
    <row r="1048559"/>
    <row r="1048560"/>
    <row r="1048561"/>
    <row r="1048562"/>
    <row r="1048563"/>
    <row r="1048564"/>
    <row r="1048565"/>
    <row r="1048566"/>
    <row r="1048567"/>
    <row r="1048568"/>
    <row r="1048569"/>
    <row r="1048570"/>
    <row r="1048571"/>
    <row r="1048572"/>
    <row r="1048573"/>
    <row r="1048574"/>
    <row r="1048575"/>
    <row r="1048576"/>
  </sheetData>
  <mergeCells count="1">
    <mergeCell ref="O1:X1"/>
  </mergeCells>
  <pageMargins left="0.75" right="0.75" top="1" bottom="1" header="0.5" footer="0.5"/>
  <pageSetup paperSize="9" orientation="portrait" horizontalDpi="4294967292" verticalDpi="4294967292"/>
  <tableParts count="2">
    <tablePart r:id="rId1"/>
    <tablePart r:id="rId2"/>
  </tableParts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"/>
  <sheetViews>
    <sheetView topLeftCell="A2" workbookViewId="0">
      <selection activeCell="I7" sqref="I7"/>
    </sheetView>
  </sheetViews>
  <sheetFormatPr baseColWidth="10" defaultRowHeight="15" x14ac:dyDescent="0"/>
  <cols>
    <col min="1" max="1" width="26" customWidth="1"/>
    <col min="2" max="2" width="15.6640625" customWidth="1"/>
    <col min="3" max="3" width="32.6640625" customWidth="1"/>
    <col min="4" max="5" width="12.1640625" customWidth="1"/>
    <col min="6" max="6" width="10.83203125" customWidth="1"/>
    <col min="7" max="7" width="14" customWidth="1"/>
    <col min="8" max="8" width="26" customWidth="1"/>
    <col min="9" max="9" width="15.6640625" customWidth="1"/>
    <col min="10" max="10" width="32.6640625" customWidth="1"/>
    <col min="11" max="12" width="12.1640625" customWidth="1"/>
    <col min="13" max="13" width="14.33203125" customWidth="1"/>
    <col min="14" max="14" width="11.1640625" customWidth="1"/>
    <col min="15" max="15" width="15.33203125" customWidth="1"/>
    <col min="16" max="16" width="11.1640625" customWidth="1"/>
    <col min="17" max="17" width="15.33203125" customWidth="1"/>
    <col min="18" max="18" width="11.1640625" customWidth="1"/>
    <col min="19" max="19" width="15.33203125" customWidth="1"/>
    <col min="20" max="20" width="11.1640625" customWidth="1"/>
    <col min="21" max="21" width="15.33203125" customWidth="1"/>
    <col min="22" max="22" width="11.1640625" customWidth="1"/>
    <col min="23" max="23" width="15.33203125" customWidth="1"/>
    <col min="24" max="24" width="11.1640625" customWidth="1"/>
    <col min="25" max="25" width="15.33203125" customWidth="1"/>
    <col min="26" max="26" width="11.1640625" customWidth="1"/>
    <col min="27" max="27" width="15.33203125" customWidth="1"/>
    <col min="28" max="28" width="11.1640625" customWidth="1"/>
    <col min="29" max="29" width="15.33203125" customWidth="1"/>
    <col min="30" max="30" width="11.1640625" customWidth="1"/>
    <col min="31" max="31" width="15.33203125" customWidth="1"/>
    <col min="32" max="32" width="11.1640625" customWidth="1"/>
    <col min="33" max="33" width="15.33203125" customWidth="1"/>
    <col min="34" max="34" width="11.1640625" customWidth="1"/>
    <col min="35" max="35" width="15.33203125" customWidth="1"/>
    <col min="36" max="36" width="11.1640625" customWidth="1"/>
    <col min="37" max="37" width="15.33203125" customWidth="1"/>
    <col min="38" max="38" width="11.1640625" customWidth="1"/>
    <col min="39" max="39" width="15.33203125" customWidth="1"/>
    <col min="40" max="40" width="11.1640625" customWidth="1"/>
    <col min="41" max="41" width="15.33203125" customWidth="1"/>
    <col min="42" max="42" width="11.1640625" customWidth="1"/>
    <col min="43" max="43" width="15.33203125" customWidth="1"/>
    <col min="44" max="44" width="10.1640625" customWidth="1"/>
    <col min="45" max="45" width="14.33203125" customWidth="1"/>
    <col min="46" max="46" width="11.1640625" customWidth="1"/>
    <col min="47" max="47" width="25.5" customWidth="1"/>
    <col min="48" max="48" width="11.1640625" customWidth="1"/>
    <col min="49" max="49" width="15.33203125" customWidth="1"/>
    <col min="50" max="50" width="8.1640625" customWidth="1"/>
    <col min="51" max="51" width="12.33203125" customWidth="1"/>
    <col min="52" max="52" width="8.1640625" customWidth="1"/>
    <col min="53" max="53" width="12.33203125" customWidth="1"/>
    <col min="54" max="54" width="8.1640625" customWidth="1"/>
    <col min="55" max="55" width="12.33203125" customWidth="1"/>
    <col min="56" max="56" width="8.1640625" customWidth="1"/>
    <col min="57" max="57" width="12.33203125" customWidth="1"/>
    <col min="58" max="58" width="8.1640625" customWidth="1"/>
    <col min="59" max="59" width="12.33203125" customWidth="1"/>
    <col min="60" max="60" width="8.1640625" customWidth="1"/>
    <col min="61" max="61" width="12.33203125" customWidth="1"/>
    <col min="62" max="62" width="9.1640625" customWidth="1"/>
    <col min="63" max="63" width="13.33203125" customWidth="1"/>
    <col min="64" max="64" width="9.1640625" customWidth="1"/>
    <col min="65" max="65" width="13.33203125" customWidth="1"/>
    <col min="66" max="66" width="9.1640625" customWidth="1"/>
    <col min="67" max="67" width="13.33203125" customWidth="1"/>
    <col min="68" max="68" width="9.1640625" customWidth="1"/>
    <col min="69" max="69" width="13.33203125" customWidth="1"/>
    <col min="70" max="70" width="8.1640625" customWidth="1"/>
    <col min="71" max="71" width="12.33203125" customWidth="1"/>
    <col min="72" max="72" width="9.1640625" customWidth="1"/>
    <col min="73" max="73" width="13.33203125" customWidth="1"/>
    <col min="74" max="74" width="9.1640625" customWidth="1"/>
    <col min="75" max="75" width="13.33203125" customWidth="1"/>
    <col min="76" max="76" width="9.1640625" customWidth="1"/>
    <col min="77" max="77" width="13.33203125" customWidth="1"/>
    <col min="78" max="78" width="9.1640625" customWidth="1"/>
    <col min="79" max="79" width="13.33203125" customWidth="1"/>
    <col min="80" max="80" width="9.1640625" customWidth="1"/>
    <col min="81" max="81" width="13.33203125" customWidth="1"/>
    <col min="82" max="82" width="9.1640625" customWidth="1"/>
    <col min="83" max="83" width="13.33203125" customWidth="1"/>
    <col min="84" max="84" width="9.1640625" customWidth="1"/>
    <col min="85" max="85" width="13.33203125" customWidth="1"/>
    <col min="86" max="86" width="9.1640625" customWidth="1"/>
    <col min="87" max="87" width="13.33203125" customWidth="1"/>
    <col min="88" max="88" width="9.1640625" customWidth="1"/>
    <col min="89" max="89" width="13.33203125" customWidth="1"/>
    <col min="90" max="90" width="9.1640625" customWidth="1"/>
    <col min="91" max="91" width="13.33203125" customWidth="1"/>
    <col min="92" max="92" width="9.1640625" customWidth="1"/>
    <col min="93" max="93" width="13.33203125" customWidth="1"/>
    <col min="94" max="94" width="9.1640625" customWidth="1"/>
    <col min="95" max="95" width="13.33203125" customWidth="1"/>
    <col min="96" max="96" width="9.1640625" customWidth="1"/>
    <col min="97" max="97" width="13.33203125" customWidth="1"/>
    <col min="98" max="98" width="9.1640625" customWidth="1"/>
    <col min="99" max="99" width="13.33203125" customWidth="1"/>
    <col min="100" max="100" width="9.1640625" customWidth="1"/>
    <col min="101" max="101" width="13.33203125" customWidth="1"/>
    <col min="102" max="102" width="9.1640625" customWidth="1"/>
    <col min="103" max="103" width="13.33203125" customWidth="1"/>
    <col min="104" max="104" width="9.1640625" customWidth="1"/>
    <col min="105" max="105" width="13.33203125" customWidth="1"/>
    <col min="106" max="106" width="9.1640625" customWidth="1"/>
    <col min="107" max="107" width="13.33203125" customWidth="1"/>
    <col min="108" max="108" width="9.1640625" customWidth="1"/>
    <col min="109" max="109" width="13.33203125" customWidth="1"/>
    <col min="110" max="110" width="9.1640625" customWidth="1"/>
    <col min="111" max="111" width="13.33203125" customWidth="1"/>
    <col min="112" max="112" width="9.1640625" customWidth="1"/>
    <col min="113" max="113" width="13.33203125" customWidth="1"/>
    <col min="114" max="114" width="9.1640625" customWidth="1"/>
    <col min="115" max="115" width="13.33203125" customWidth="1"/>
    <col min="116" max="116" width="9.1640625" customWidth="1"/>
    <col min="117" max="117" width="13.33203125" customWidth="1"/>
    <col min="118" max="118" width="9.1640625" customWidth="1"/>
    <col min="119" max="119" width="13.33203125" customWidth="1"/>
    <col min="120" max="120" width="9.1640625" customWidth="1"/>
    <col min="121" max="121" width="13.33203125" customWidth="1"/>
    <col min="122" max="122" width="10.83203125" customWidth="1"/>
    <col min="123" max="123" width="23" bestFit="1" customWidth="1"/>
  </cols>
  <sheetData>
    <row r="1" spans="1:15" hidden="1">
      <c r="A1" s="16" t="s">
        <v>75</v>
      </c>
      <c r="B1" t="str">
        <f>B2</f>
        <v>24B</v>
      </c>
      <c r="C1" t="s">
        <v>65</v>
      </c>
      <c r="H1" s="56" t="s">
        <v>76</v>
      </c>
      <c r="I1" s="26" t="str">
        <f>I2</f>
        <v>24B</v>
      </c>
      <c r="J1" s="26" t="s">
        <v>65</v>
      </c>
    </row>
    <row r="2" spans="1:15">
      <c r="A2" s="14" t="s">
        <v>12</v>
      </c>
      <c r="B2" s="55" t="s">
        <v>15</v>
      </c>
      <c r="C2" s="58" t="s">
        <v>78</v>
      </c>
      <c r="D2" s="58"/>
      <c r="E2" s="58"/>
      <c r="H2" s="14" t="s">
        <v>12</v>
      </c>
      <c r="I2" s="55" t="s">
        <v>15</v>
      </c>
      <c r="J2" s="58" t="s">
        <v>78</v>
      </c>
      <c r="K2" s="58"/>
      <c r="L2" s="58"/>
      <c r="O2" s="57"/>
    </row>
    <row r="4" spans="1:15">
      <c r="A4" s="61" t="s">
        <v>87</v>
      </c>
      <c r="B4" s="14" t="s">
        <v>68</v>
      </c>
      <c r="H4" s="62" t="s">
        <v>87</v>
      </c>
      <c r="I4" s="14" t="s">
        <v>68</v>
      </c>
    </row>
    <row r="5" spans="1:15">
      <c r="A5" s="14" t="s">
        <v>67</v>
      </c>
      <c r="B5">
        <v>10000</v>
      </c>
      <c r="C5">
        <v>256000</v>
      </c>
      <c r="D5">
        <v>1000</v>
      </c>
      <c r="E5">
        <v>5000</v>
      </c>
      <c r="H5" s="62" t="s">
        <v>67</v>
      </c>
      <c r="I5">
        <v>10000</v>
      </c>
      <c r="J5">
        <v>256000</v>
      </c>
      <c r="K5">
        <v>1000</v>
      </c>
      <c r="L5">
        <v>5000</v>
      </c>
    </row>
    <row r="6" spans="1:15">
      <c r="A6" s="16" t="s">
        <v>1</v>
      </c>
      <c r="B6" s="15">
        <v>6.2776136530563829</v>
      </c>
      <c r="C6" s="15">
        <v>8.1292990416636091</v>
      </c>
      <c r="D6" s="15">
        <v>7.630826708503947</v>
      </c>
      <c r="E6" s="15">
        <v>8.1925639210462915</v>
      </c>
      <c r="H6" s="16" t="s">
        <v>1</v>
      </c>
      <c r="I6" s="15">
        <v>1.0529189704095023E-2</v>
      </c>
      <c r="J6" s="15">
        <v>1.4586902898520172E-2</v>
      </c>
      <c r="K6" s="15">
        <v>1.5119637914911215E-2</v>
      </c>
      <c r="L6" s="15">
        <v>1.4014248286232611E-2</v>
      </c>
    </row>
    <row r="7" spans="1:15">
      <c r="A7" s="16" t="s">
        <v>3</v>
      </c>
      <c r="B7" s="15">
        <v>7.0146887582597959</v>
      </c>
      <c r="C7" s="15">
        <v>8.2743890850464972</v>
      </c>
      <c r="D7" s="15">
        <v>7.8241414667370313</v>
      </c>
      <c r="E7" s="15">
        <v>8.1674316963812803</v>
      </c>
      <c r="H7" s="16" t="s">
        <v>3</v>
      </c>
      <c r="I7" s="15">
        <v>4.6397597717980554E-3</v>
      </c>
      <c r="J7" s="15">
        <v>6.4948392666819054E-3</v>
      </c>
      <c r="K7" s="15">
        <v>6.4673306028263534E-3</v>
      </c>
      <c r="L7" s="15">
        <v>4.7680937475891323E-3</v>
      </c>
    </row>
    <row r="8" spans="1:15">
      <c r="A8" s="16" t="s">
        <v>4</v>
      </c>
      <c r="B8" s="15">
        <v>6.8631306444960103</v>
      </c>
      <c r="C8" s="15">
        <v>7.9828468578142724</v>
      </c>
      <c r="D8" s="15">
        <v>7.7933150502162283</v>
      </c>
      <c r="E8" s="15">
        <v>7.9810313232334451</v>
      </c>
      <c r="H8" s="16" t="s">
        <v>4</v>
      </c>
      <c r="I8" s="15">
        <v>4.8565355126874571E-3</v>
      </c>
      <c r="J8" s="15">
        <v>6.6925200108962609E-3</v>
      </c>
      <c r="K8" s="15">
        <v>7.0475267585781605E-3</v>
      </c>
      <c r="L8" s="15">
        <v>6.3887076270563821E-3</v>
      </c>
    </row>
    <row r="9" spans="1:15">
      <c r="A9" s="16" t="s">
        <v>0</v>
      </c>
      <c r="B9" s="15">
        <v>6.647605765069624E-3</v>
      </c>
      <c r="C9" s="15">
        <v>8.240469784032093E-3</v>
      </c>
      <c r="D9" s="15">
        <v>7.5337086375852954E-3</v>
      </c>
      <c r="E9" s="15">
        <v>8.0693837895762909E-3</v>
      </c>
      <c r="H9" s="16" t="s">
        <v>0</v>
      </c>
      <c r="I9" s="15">
        <v>1.11611913768189E-2</v>
      </c>
      <c r="J9" s="15">
        <v>1.3616767772940399E-2</v>
      </c>
      <c r="K9" s="15">
        <v>1.4568414366496144E-2</v>
      </c>
      <c r="L9" s="15">
        <v>1.3846842566800282E-2</v>
      </c>
    </row>
    <row r="10" spans="1:15">
      <c r="A10" s="16" t="s">
        <v>2</v>
      </c>
      <c r="B10" s="15">
        <v>6.9535371600502591</v>
      </c>
      <c r="C10" s="15">
        <v>8.2229947697256325</v>
      </c>
      <c r="D10" s="15">
        <v>7.8973658336261927</v>
      </c>
      <c r="E10" s="15">
        <v>8.1403878259848845</v>
      </c>
      <c r="H10" s="16" t="s">
        <v>2</v>
      </c>
      <c r="I10" s="15">
        <v>4.7578900090019275E-3</v>
      </c>
      <c r="J10" s="15">
        <v>6.8637528963160438E-3</v>
      </c>
      <c r="K10" s="15">
        <v>7.0891140627819043E-3</v>
      </c>
      <c r="L10" s="15">
        <v>6.4358633076694698E-3</v>
      </c>
    </row>
  </sheetData>
  <pageMargins left="0.75" right="0.75" top="1" bottom="1" header="0.5" footer="0.5"/>
  <pageSetup paperSize="9"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"/>
  <sheetViews>
    <sheetView workbookViewId="0">
      <selection activeCell="I7" sqref="I7"/>
    </sheetView>
  </sheetViews>
  <sheetFormatPr baseColWidth="10" defaultRowHeight="15" x14ac:dyDescent="0"/>
  <cols>
    <col min="1" max="1" width="26" customWidth="1"/>
    <col min="2" max="2" width="13.5" customWidth="1"/>
    <col min="3" max="3" width="32.6640625" customWidth="1"/>
    <col min="4" max="4" width="12.1640625" customWidth="1"/>
    <col min="5" max="5" width="11.83203125" customWidth="1"/>
    <col min="6" max="6" width="10.83203125" customWidth="1"/>
    <col min="7" max="7" width="14" customWidth="1"/>
    <col min="8" max="8" width="26" customWidth="1"/>
    <col min="9" max="9" width="13.83203125" customWidth="1"/>
    <col min="10" max="10" width="32.6640625" customWidth="1"/>
    <col min="11" max="11" width="12.1640625" customWidth="1"/>
    <col min="12" max="12" width="10.5" customWidth="1"/>
    <col min="13" max="15" width="8.1640625" customWidth="1"/>
    <col min="16" max="16" width="10.5" customWidth="1"/>
    <col min="17" max="19" width="10.83203125" customWidth="1"/>
    <col min="20" max="20" width="11" customWidth="1"/>
    <col min="21" max="23" width="11.83203125" customWidth="1"/>
    <col min="24" max="24" width="12" customWidth="1"/>
    <col min="25" max="25" width="15.33203125" customWidth="1"/>
    <col min="26" max="26" width="11.1640625" customWidth="1"/>
    <col min="27" max="27" width="15.33203125" customWidth="1"/>
    <col min="28" max="28" width="11.1640625" customWidth="1"/>
    <col min="29" max="29" width="15.33203125" customWidth="1"/>
    <col min="30" max="30" width="11.1640625" customWidth="1"/>
    <col min="31" max="31" width="15.33203125" customWidth="1"/>
    <col min="32" max="32" width="11.1640625" customWidth="1"/>
    <col min="33" max="33" width="15.33203125" customWidth="1"/>
    <col min="34" max="34" width="11.1640625" customWidth="1"/>
    <col min="35" max="35" width="15.33203125" customWidth="1"/>
    <col min="36" max="36" width="11.1640625" customWidth="1"/>
    <col min="37" max="37" width="15.33203125" customWidth="1"/>
    <col min="38" max="38" width="11.1640625" customWidth="1"/>
    <col min="39" max="39" width="15.33203125" customWidth="1"/>
    <col min="40" max="40" width="11.1640625" customWidth="1"/>
    <col min="41" max="41" width="15.33203125" customWidth="1"/>
    <col min="42" max="42" width="11.1640625" customWidth="1"/>
    <col min="43" max="43" width="15.33203125" customWidth="1"/>
    <col min="44" max="44" width="10.1640625" customWidth="1"/>
    <col min="45" max="45" width="14.33203125" customWidth="1"/>
    <col min="46" max="46" width="11.1640625" customWidth="1"/>
    <col min="47" max="47" width="25.5" customWidth="1"/>
    <col min="48" max="48" width="11.1640625" customWidth="1"/>
    <col min="49" max="49" width="15.33203125" customWidth="1"/>
    <col min="50" max="50" width="8.1640625" customWidth="1"/>
    <col min="51" max="51" width="12.33203125" customWidth="1"/>
    <col min="52" max="52" width="8.1640625" customWidth="1"/>
    <col min="53" max="53" width="12.33203125" customWidth="1"/>
    <col min="54" max="54" width="8.1640625" customWidth="1"/>
    <col min="55" max="55" width="12.33203125" customWidth="1"/>
    <col min="56" max="56" width="8.1640625" customWidth="1"/>
    <col min="57" max="57" width="12.33203125" customWidth="1"/>
    <col min="58" max="58" width="8.1640625" customWidth="1"/>
    <col min="59" max="59" width="12.33203125" customWidth="1"/>
    <col min="60" max="60" width="8.1640625" customWidth="1"/>
    <col min="61" max="61" width="12.33203125" customWidth="1"/>
    <col min="62" max="62" width="9.1640625" customWidth="1"/>
    <col min="63" max="63" width="13.33203125" customWidth="1"/>
    <col min="64" max="64" width="9.1640625" customWidth="1"/>
    <col min="65" max="65" width="13.33203125" customWidth="1"/>
    <col min="66" max="66" width="9.1640625" customWidth="1"/>
    <col min="67" max="67" width="13.33203125" customWidth="1"/>
    <col min="68" max="68" width="9.1640625" customWidth="1"/>
    <col min="69" max="69" width="13.33203125" customWidth="1"/>
    <col min="70" max="70" width="8.1640625" customWidth="1"/>
    <col min="71" max="71" width="12.33203125" customWidth="1"/>
    <col min="72" max="72" width="9.1640625" customWidth="1"/>
    <col min="73" max="73" width="13.33203125" customWidth="1"/>
    <col min="74" max="74" width="9.1640625" customWidth="1"/>
    <col min="75" max="75" width="13.33203125" customWidth="1"/>
    <col min="76" max="76" width="9.1640625" customWidth="1"/>
    <col min="77" max="77" width="13.33203125" customWidth="1"/>
    <col min="78" max="78" width="9.1640625" customWidth="1"/>
    <col min="79" max="79" width="13.33203125" customWidth="1"/>
    <col min="80" max="80" width="9.1640625" customWidth="1"/>
    <col min="81" max="81" width="13.33203125" customWidth="1"/>
    <col min="82" max="82" width="9.1640625" customWidth="1"/>
    <col min="83" max="83" width="13.33203125" customWidth="1"/>
    <col min="84" max="84" width="9.1640625" customWidth="1"/>
    <col min="85" max="85" width="13.33203125" customWidth="1"/>
    <col min="86" max="86" width="9.1640625" customWidth="1"/>
    <col min="87" max="87" width="13.33203125" customWidth="1"/>
    <col min="88" max="88" width="9.1640625" customWidth="1"/>
    <col min="89" max="89" width="13.33203125" customWidth="1"/>
    <col min="90" max="90" width="9.1640625" customWidth="1"/>
    <col min="91" max="91" width="13.33203125" customWidth="1"/>
    <col min="92" max="92" width="9.1640625" customWidth="1"/>
    <col min="93" max="93" width="13.33203125" customWidth="1"/>
    <col min="94" max="94" width="9.1640625" customWidth="1"/>
    <col min="95" max="95" width="13.33203125" customWidth="1"/>
    <col min="96" max="96" width="9.1640625" customWidth="1"/>
    <col min="97" max="97" width="13.33203125" customWidth="1"/>
    <col min="98" max="98" width="9.1640625" customWidth="1"/>
    <col min="99" max="99" width="13.33203125" customWidth="1"/>
    <col min="100" max="100" width="9.1640625" customWidth="1"/>
    <col min="101" max="101" width="13.33203125" customWidth="1"/>
    <col min="102" max="102" width="9.1640625" customWidth="1"/>
    <col min="103" max="103" width="13.33203125" customWidth="1"/>
    <col min="104" max="104" width="9.1640625" customWidth="1"/>
    <col min="105" max="105" width="13.33203125" customWidth="1"/>
    <col min="106" max="106" width="9.1640625" customWidth="1"/>
    <col min="107" max="107" width="13.33203125" customWidth="1"/>
    <col min="108" max="108" width="9.1640625" customWidth="1"/>
    <col min="109" max="109" width="13.33203125" customWidth="1"/>
    <col min="110" max="110" width="9.1640625" customWidth="1"/>
    <col min="111" max="111" width="13.33203125" customWidth="1"/>
    <col min="112" max="112" width="9.1640625" customWidth="1"/>
    <col min="113" max="113" width="13.33203125" customWidth="1"/>
    <col min="114" max="114" width="9.1640625" customWidth="1"/>
    <col min="115" max="115" width="13.33203125" customWidth="1"/>
    <col min="116" max="116" width="9.1640625" customWidth="1"/>
    <col min="117" max="117" width="13.33203125" customWidth="1"/>
    <col min="118" max="118" width="9.1640625" customWidth="1"/>
    <col min="119" max="119" width="13.33203125" customWidth="1"/>
    <col min="120" max="120" width="9.1640625" customWidth="1"/>
    <col min="121" max="121" width="13.33203125" customWidth="1"/>
    <col min="122" max="122" width="10.83203125" customWidth="1"/>
    <col min="123" max="123" width="23" bestFit="1" customWidth="1"/>
  </cols>
  <sheetData>
    <row r="1" spans="1:12">
      <c r="A1" t="s">
        <v>75</v>
      </c>
      <c r="B1" t="str">
        <f>B2</f>
        <v>(All)</v>
      </c>
      <c r="C1" s="57" t="s">
        <v>77</v>
      </c>
      <c r="H1" t="s">
        <v>76</v>
      </c>
      <c r="I1" t="str">
        <f>I2</f>
        <v>(All)</v>
      </c>
      <c r="J1" s="57" t="s">
        <v>77</v>
      </c>
    </row>
    <row r="2" spans="1:12">
      <c r="A2" s="14" t="s">
        <v>64</v>
      </c>
      <c r="B2" t="s">
        <v>85</v>
      </c>
      <c r="C2" s="58" t="s">
        <v>78</v>
      </c>
      <c r="D2" s="58"/>
      <c r="E2" s="58"/>
      <c r="H2" s="14" t="s">
        <v>64</v>
      </c>
      <c r="I2" t="s">
        <v>85</v>
      </c>
      <c r="J2" s="58" t="s">
        <v>78</v>
      </c>
      <c r="K2" s="58"/>
      <c r="L2" s="58"/>
    </row>
    <row r="4" spans="1:12">
      <c r="A4" s="14" t="s">
        <v>87</v>
      </c>
      <c r="B4" s="14" t="s">
        <v>79</v>
      </c>
      <c r="H4" s="14" t="s">
        <v>87</v>
      </c>
      <c r="I4" s="14" t="s">
        <v>82</v>
      </c>
    </row>
    <row r="5" spans="1:12">
      <c r="A5" s="14" t="s">
        <v>67</v>
      </c>
      <c r="B5" t="s">
        <v>13</v>
      </c>
      <c r="C5" t="s">
        <v>15</v>
      </c>
      <c r="D5" t="s">
        <v>14</v>
      </c>
      <c r="H5" s="14" t="s">
        <v>66</v>
      </c>
      <c r="I5" t="s">
        <v>13</v>
      </c>
      <c r="J5" t="s">
        <v>15</v>
      </c>
      <c r="K5" t="s">
        <v>14</v>
      </c>
    </row>
    <row r="6" spans="1:12">
      <c r="A6" s="16" t="s">
        <v>1</v>
      </c>
      <c r="B6" s="15">
        <v>7.9422446317852353</v>
      </c>
      <c r="C6" s="15">
        <v>7.5575758310675578</v>
      </c>
      <c r="D6" s="15">
        <v>7.7447973366848597</v>
      </c>
      <c r="H6" s="16" t="s">
        <v>1</v>
      </c>
      <c r="I6" s="15">
        <v>1.3559273893717179E-2</v>
      </c>
      <c r="J6" s="15">
        <v>1.3562494700939755E-2</v>
      </c>
      <c r="K6" s="15">
        <v>1.2741743325879469E-2</v>
      </c>
    </row>
    <row r="7" spans="1:12">
      <c r="A7" s="16" t="s">
        <v>3</v>
      </c>
      <c r="B7" s="51">
        <v>7.9111534430232719</v>
      </c>
      <c r="C7" s="51">
        <v>7.8201627516061505</v>
      </c>
      <c r="D7" s="51">
        <v>7.7533321269298483</v>
      </c>
      <c r="H7" s="16" t="s">
        <v>3</v>
      </c>
      <c r="I7" s="51">
        <v>5.3221113741506107E-3</v>
      </c>
      <c r="J7" s="51">
        <v>5.5925058472238616E-3</v>
      </c>
      <c r="K7" s="51">
        <v>5.6332467650649885E-3</v>
      </c>
    </row>
    <row r="8" spans="1:12">
      <c r="A8" s="16" t="s">
        <v>4</v>
      </c>
      <c r="B8" s="51">
        <v>7.9660426976676462</v>
      </c>
      <c r="C8" s="51">
        <v>7.6550809689399895</v>
      </c>
      <c r="D8" s="51">
        <v>7.807886002287411</v>
      </c>
      <c r="H8" s="16" t="s">
        <v>4</v>
      </c>
      <c r="I8" s="51">
        <v>6.0428329940366687E-3</v>
      </c>
      <c r="J8" s="51">
        <v>6.2463224773045651E-3</v>
      </c>
      <c r="K8" s="51">
        <v>6.2313581598006321E-3</v>
      </c>
    </row>
    <row r="9" spans="1:12">
      <c r="A9" s="16" t="s">
        <v>0</v>
      </c>
      <c r="B9" s="51">
        <v>7.8856993246746547E-3</v>
      </c>
      <c r="C9" s="51">
        <v>7.6227919940658256E-3</v>
      </c>
      <c r="D9" s="51">
        <v>7.7040786816101698E-3</v>
      </c>
      <c r="H9" s="16" t="s">
        <v>0</v>
      </c>
      <c r="I9" s="51">
        <v>1.1602864988579322E-2</v>
      </c>
      <c r="J9" s="51">
        <v>1.3298304020763931E-2</v>
      </c>
      <c r="K9" s="51">
        <v>1.2840033266523884E-2</v>
      </c>
    </row>
    <row r="10" spans="1:12">
      <c r="A10" s="16" t="s">
        <v>2</v>
      </c>
      <c r="B10" s="51">
        <v>7.9573372381171321</v>
      </c>
      <c r="C10" s="51">
        <v>7.803571397346742</v>
      </c>
      <c r="D10" s="51">
        <v>7.663578177080189</v>
      </c>
      <c r="H10" s="16" t="s">
        <v>2</v>
      </c>
      <c r="I10" s="51">
        <v>6.318418438839399E-3</v>
      </c>
      <c r="J10" s="51">
        <v>6.2866550689423366E-3</v>
      </c>
      <c r="K10" s="51">
        <v>6.0974738199432183E-3</v>
      </c>
    </row>
  </sheetData>
  <pageMargins left="0.75" right="0.75" top="1" bottom="1" header="0.5" footer="0.5"/>
  <pageSetup paperSize="9"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"/>
  <sheetViews>
    <sheetView tabSelected="1" topLeftCell="A2" workbookViewId="0">
      <selection activeCell="K12" sqref="K12"/>
    </sheetView>
  </sheetViews>
  <sheetFormatPr baseColWidth="10" defaultRowHeight="15" x14ac:dyDescent="0"/>
  <cols>
    <col min="1" max="1" width="26" customWidth="1"/>
    <col min="2" max="2" width="13.1640625" customWidth="1"/>
    <col min="3" max="3" width="32" customWidth="1"/>
    <col min="4" max="4" width="12.1640625" customWidth="1"/>
    <col min="5" max="5" width="23" customWidth="1"/>
    <col min="6" max="6" width="18" bestFit="1" customWidth="1"/>
    <col min="7" max="7" width="23" bestFit="1" customWidth="1"/>
    <col min="12" max="12" width="26" customWidth="1"/>
    <col min="13" max="13" width="14.33203125" customWidth="1"/>
    <col min="14" max="14" width="32" customWidth="1"/>
    <col min="15" max="15" width="12.1640625" customWidth="1"/>
    <col min="16" max="16" width="10.83203125" customWidth="1"/>
  </cols>
  <sheetData>
    <row r="1" spans="1:17" hidden="1">
      <c r="A1" t="s">
        <v>75</v>
      </c>
      <c r="B1" t="str">
        <f>B2</f>
        <v>CBC</v>
      </c>
      <c r="C1" t="s">
        <v>7</v>
      </c>
      <c r="L1" t="s">
        <v>76</v>
      </c>
      <c r="M1" t="str">
        <f>M2</f>
        <v>CBC</v>
      </c>
      <c r="N1" t="s">
        <v>7</v>
      </c>
    </row>
    <row r="2" spans="1:17">
      <c r="A2" s="14" t="s">
        <v>7</v>
      </c>
      <c r="B2" t="s">
        <v>1</v>
      </c>
      <c r="C2" s="58" t="s">
        <v>81</v>
      </c>
      <c r="D2" s="58"/>
      <c r="E2" s="58"/>
      <c r="F2" s="58"/>
      <c r="L2" s="14" t="s">
        <v>7</v>
      </c>
      <c r="M2" t="s">
        <v>1</v>
      </c>
      <c r="N2" s="58" t="s">
        <v>81</v>
      </c>
      <c r="O2" s="58"/>
      <c r="P2" s="58"/>
      <c r="Q2" s="58"/>
    </row>
    <row r="4" spans="1:17">
      <c r="A4" s="14" t="s">
        <v>87</v>
      </c>
      <c r="B4" s="14" t="s">
        <v>79</v>
      </c>
      <c r="L4" s="14" t="s">
        <v>87</v>
      </c>
      <c r="M4" s="14" t="s">
        <v>80</v>
      </c>
    </row>
    <row r="5" spans="1:17">
      <c r="A5" s="14" t="s">
        <v>68</v>
      </c>
      <c r="B5" t="s">
        <v>13</v>
      </c>
      <c r="C5" t="s">
        <v>15</v>
      </c>
      <c r="D5" t="s">
        <v>14</v>
      </c>
      <c r="L5" s="14" t="s">
        <v>68</v>
      </c>
      <c r="M5" t="s">
        <v>13</v>
      </c>
      <c r="N5" t="s">
        <v>15</v>
      </c>
      <c r="O5" t="s">
        <v>14</v>
      </c>
    </row>
    <row r="6" spans="1:17">
      <c r="A6" s="16">
        <v>1000</v>
      </c>
      <c r="B6" s="15">
        <v>8.5082161716515596</v>
      </c>
      <c r="C6" s="15">
        <v>7.630826708503947</v>
      </c>
      <c r="D6" s="15">
        <v>7.8928560575894355</v>
      </c>
      <c r="L6" s="16">
        <v>1000</v>
      </c>
      <c r="M6" s="15">
        <v>1.5873154448173755E-2</v>
      </c>
      <c r="N6" s="15">
        <v>1.5119637914911215E-2</v>
      </c>
      <c r="O6" s="15">
        <v>1.414327133866063E-2</v>
      </c>
    </row>
    <row r="7" spans="1:17">
      <c r="A7" s="16">
        <v>5000</v>
      </c>
      <c r="B7" s="15">
        <v>8.1604554448109212</v>
      </c>
      <c r="C7" s="15">
        <v>8.1925639210462915</v>
      </c>
      <c r="D7" s="15">
        <v>8.3776728651113395</v>
      </c>
      <c r="L7" s="16">
        <v>5000</v>
      </c>
      <c r="M7" s="15">
        <v>1.3910947400899454E-2</v>
      </c>
      <c r="N7" s="15">
        <v>1.4014248286232611E-2</v>
      </c>
      <c r="O7" s="15">
        <v>1.2908084242804674E-2</v>
      </c>
    </row>
    <row r="8" spans="1:17">
      <c r="A8" s="16">
        <v>10000</v>
      </c>
      <c r="B8" s="15">
        <v>8.2726534204940112</v>
      </c>
      <c r="C8" s="15">
        <v>6.2776136530563829</v>
      </c>
      <c r="D8" s="15">
        <v>6.3247946497297116</v>
      </c>
      <c r="L8" s="16">
        <v>10000</v>
      </c>
      <c r="M8" s="15">
        <v>1.2196889012700864E-2</v>
      </c>
      <c r="N8" s="15">
        <v>1.0529189704095023E-2</v>
      </c>
      <c r="O8" s="15">
        <v>9.9171914513809713E-3</v>
      </c>
    </row>
    <row r="9" spans="1:17">
      <c r="A9" s="16">
        <v>256000</v>
      </c>
      <c r="B9" s="15">
        <v>6.8276534901844483</v>
      </c>
      <c r="C9" s="15">
        <v>8.1292990416636091</v>
      </c>
      <c r="D9" s="15">
        <v>8.3838657743089531</v>
      </c>
      <c r="L9" s="16">
        <v>256000</v>
      </c>
      <c r="M9" s="15">
        <v>1.2256104713094643E-2</v>
      </c>
      <c r="N9" s="15">
        <v>1.4586902898520172E-2</v>
      </c>
      <c r="O9" s="15">
        <v>1.3998426270671601E-2</v>
      </c>
    </row>
  </sheetData>
  <pageMargins left="0.75" right="0.75" top="1" bottom="1" header="0.5" footer="0.5"/>
  <pageSetup paperSize="9"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221"/>
  <sheetViews>
    <sheetView workbookViewId="0">
      <selection activeCell="B106" sqref="B106"/>
    </sheetView>
  </sheetViews>
  <sheetFormatPr baseColWidth="10" defaultRowHeight="15" x14ac:dyDescent="0"/>
  <cols>
    <col min="1" max="1" width="11" customWidth="1"/>
  </cols>
  <sheetData>
    <row r="1" spans="1:41">
      <c r="B1" t="s">
        <v>16</v>
      </c>
      <c r="I1" t="s">
        <v>17</v>
      </c>
      <c r="P1" t="s">
        <v>18</v>
      </c>
      <c r="W1" t="s">
        <v>19</v>
      </c>
      <c r="AD1" t="s">
        <v>20</v>
      </c>
      <c r="AK1" t="s">
        <v>21</v>
      </c>
    </row>
    <row r="2" spans="1:41">
      <c r="A2" t="s">
        <v>23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I2" t="s">
        <v>0</v>
      </c>
      <c r="J2" t="s">
        <v>1</v>
      </c>
      <c r="K2" t="s">
        <v>2</v>
      </c>
      <c r="L2" t="s">
        <v>3</v>
      </c>
      <c r="M2" t="s">
        <v>4</v>
      </c>
      <c r="P2" t="s">
        <v>0</v>
      </c>
      <c r="Q2" t="s">
        <v>1</v>
      </c>
      <c r="R2" t="s">
        <v>2</v>
      </c>
      <c r="S2" t="s">
        <v>3</v>
      </c>
      <c r="T2" t="s">
        <v>4</v>
      </c>
      <c r="W2" t="s">
        <v>0</v>
      </c>
      <c r="X2" t="s">
        <v>1</v>
      </c>
      <c r="Y2" t="s">
        <v>2</v>
      </c>
      <c r="Z2" t="s">
        <v>3</v>
      </c>
      <c r="AA2" t="s">
        <v>4</v>
      </c>
      <c r="AD2" t="s">
        <v>0</v>
      </c>
      <c r="AE2" t="s">
        <v>1</v>
      </c>
      <c r="AF2" t="s">
        <v>2</v>
      </c>
      <c r="AG2" t="s">
        <v>3</v>
      </c>
      <c r="AH2" t="s">
        <v>4</v>
      </c>
      <c r="AK2" t="s">
        <v>0</v>
      </c>
      <c r="AL2" t="s">
        <v>1</v>
      </c>
      <c r="AM2" t="s">
        <v>2</v>
      </c>
      <c r="AN2" t="s">
        <v>3</v>
      </c>
      <c r="AO2" t="s">
        <v>4</v>
      </c>
    </row>
    <row r="3" spans="1:41">
      <c r="A3">
        <v>1</v>
      </c>
      <c r="B3">
        <v>117.887</v>
      </c>
      <c r="C3">
        <v>0.11556900000000001</v>
      </c>
      <c r="D3">
        <v>0.11550299999999999</v>
      </c>
      <c r="E3">
        <v>0.11551</v>
      </c>
      <c r="F3">
        <v>0.135542</v>
      </c>
      <c r="I3">
        <v>141.42400000000001</v>
      </c>
      <c r="J3" s="1">
        <v>0.173041</v>
      </c>
      <c r="K3" s="1">
        <v>0.13817099999999999</v>
      </c>
      <c r="L3" s="1">
        <v>0.12571099999999999</v>
      </c>
      <c r="M3" s="1">
        <v>0.14459</v>
      </c>
      <c r="N3" s="1"/>
      <c r="P3">
        <v>125.91500000000001</v>
      </c>
      <c r="Q3">
        <v>0.123178</v>
      </c>
      <c r="R3">
        <v>0.12143</v>
      </c>
      <c r="S3">
        <v>0.12217699999999999</v>
      </c>
      <c r="T3">
        <v>0.122617</v>
      </c>
      <c r="W3">
        <v>82.816000000000003</v>
      </c>
      <c r="X3">
        <v>63.866999999999997</v>
      </c>
      <c r="Y3">
        <v>145.13499999999999</v>
      </c>
      <c r="Z3">
        <v>200.21</v>
      </c>
      <c r="AA3">
        <v>152.155</v>
      </c>
      <c r="AD3">
        <v>81.335999999999999</v>
      </c>
      <c r="AE3">
        <v>67.647999999999996</v>
      </c>
      <c r="AF3">
        <v>142.93100000000001</v>
      </c>
      <c r="AG3">
        <v>153.09399999999999</v>
      </c>
      <c r="AH3">
        <v>148.262</v>
      </c>
      <c r="AK3">
        <v>81.137</v>
      </c>
      <c r="AL3">
        <v>86.88</v>
      </c>
      <c r="AM3">
        <v>162.727</v>
      </c>
      <c r="AN3">
        <v>158.989</v>
      </c>
      <c r="AO3">
        <v>162.78399999999999</v>
      </c>
    </row>
    <row r="4" spans="1:41">
      <c r="A4">
        <v>2</v>
      </c>
      <c r="B4">
        <v>115.21</v>
      </c>
      <c r="C4">
        <v>0.11705599999999999</v>
      </c>
      <c r="D4">
        <v>0.115936</v>
      </c>
      <c r="E4" s="1">
        <v>0.116145</v>
      </c>
      <c r="F4" s="1">
        <v>0.115189</v>
      </c>
      <c r="G4" s="1"/>
      <c r="I4">
        <v>125.419</v>
      </c>
      <c r="J4" s="1">
        <v>0.123626</v>
      </c>
      <c r="K4" s="1">
        <v>0.12238</v>
      </c>
      <c r="L4">
        <v>0.14277999999999999</v>
      </c>
      <c r="M4" s="1">
        <v>0.155164</v>
      </c>
      <c r="N4" s="1"/>
      <c r="P4">
        <v>122.277</v>
      </c>
      <c r="Q4" s="1">
        <v>0.122103</v>
      </c>
      <c r="R4" s="1">
        <v>0.153618</v>
      </c>
      <c r="S4">
        <v>0.12382600000000001</v>
      </c>
      <c r="T4" s="1">
        <v>0.122657</v>
      </c>
      <c r="U4" s="1"/>
      <c r="W4">
        <v>63.088999999999999</v>
      </c>
      <c r="X4">
        <v>63.872</v>
      </c>
      <c r="Y4">
        <v>140.85900000000001</v>
      </c>
      <c r="Z4">
        <v>185.97800000000001</v>
      </c>
      <c r="AA4">
        <v>189.25800000000001</v>
      </c>
      <c r="AD4">
        <v>67.718000000000004</v>
      </c>
      <c r="AE4">
        <v>68.275000000000006</v>
      </c>
      <c r="AF4">
        <v>147.28700000000001</v>
      </c>
      <c r="AG4">
        <v>152.244</v>
      </c>
      <c r="AH4">
        <v>145.679</v>
      </c>
      <c r="AK4">
        <v>72.893000000000001</v>
      </c>
      <c r="AL4">
        <v>72.988</v>
      </c>
      <c r="AM4">
        <v>160.011</v>
      </c>
      <c r="AN4">
        <v>162.822</v>
      </c>
      <c r="AO4">
        <v>147.363</v>
      </c>
    </row>
    <row r="5" spans="1:41">
      <c r="A5">
        <v>3</v>
      </c>
      <c r="B5">
        <v>115.857</v>
      </c>
      <c r="C5" s="1">
        <v>0.116423</v>
      </c>
      <c r="D5" s="1">
        <v>0.118713</v>
      </c>
      <c r="E5">
        <v>0.116645</v>
      </c>
      <c r="F5" s="1">
        <v>0.115844</v>
      </c>
      <c r="G5" s="1"/>
      <c r="I5">
        <v>139.31</v>
      </c>
      <c r="J5">
        <v>0.166878</v>
      </c>
      <c r="K5" s="1">
        <v>0.14230300000000001</v>
      </c>
      <c r="L5" s="1">
        <v>0.126969</v>
      </c>
      <c r="M5" s="1">
        <v>0.139989</v>
      </c>
      <c r="N5" s="1"/>
      <c r="P5">
        <v>122.496</v>
      </c>
      <c r="Q5">
        <v>0.12550800000000001</v>
      </c>
      <c r="R5" s="1">
        <v>0.12427100000000001</v>
      </c>
      <c r="S5" s="1">
        <v>0.122637</v>
      </c>
      <c r="T5" s="1">
        <v>0.122185</v>
      </c>
      <c r="U5" s="1"/>
      <c r="W5">
        <v>63.372999999999998</v>
      </c>
      <c r="X5">
        <v>63.24</v>
      </c>
      <c r="Y5">
        <v>141.953</v>
      </c>
      <c r="Z5">
        <v>194.69800000000001</v>
      </c>
      <c r="AA5">
        <v>147.55000000000001</v>
      </c>
      <c r="AD5">
        <v>85.427000000000007</v>
      </c>
      <c r="AE5">
        <v>70.358999999999995</v>
      </c>
      <c r="AF5">
        <v>143.39400000000001</v>
      </c>
      <c r="AG5">
        <v>177.98699999999999</v>
      </c>
      <c r="AH5">
        <v>145.172</v>
      </c>
      <c r="AK5">
        <v>70.777000000000001</v>
      </c>
      <c r="AL5">
        <v>108.73699999999999</v>
      </c>
      <c r="AM5">
        <v>144.798</v>
      </c>
      <c r="AN5">
        <v>158.92500000000001</v>
      </c>
      <c r="AO5">
        <v>146.14500000000001</v>
      </c>
    </row>
    <row r="6" spans="1:41">
      <c r="A6">
        <v>4</v>
      </c>
      <c r="B6">
        <v>116.58</v>
      </c>
      <c r="C6" s="1">
        <v>0.118481</v>
      </c>
      <c r="D6">
        <v>0.11744499999999999</v>
      </c>
      <c r="E6" s="1">
        <v>0.117564</v>
      </c>
      <c r="F6" s="1">
        <v>0.116255</v>
      </c>
      <c r="G6" s="1"/>
      <c r="I6">
        <v>138.59</v>
      </c>
      <c r="J6" s="1">
        <v>0.13595599999999999</v>
      </c>
      <c r="K6" s="1">
        <v>0.16004399999999999</v>
      </c>
      <c r="L6" s="1">
        <v>0.137714</v>
      </c>
      <c r="M6" s="1">
        <v>0.138795</v>
      </c>
      <c r="N6" s="1"/>
      <c r="P6">
        <v>139.429</v>
      </c>
      <c r="Q6" s="1">
        <v>0.13419600000000001</v>
      </c>
      <c r="R6" s="1">
        <v>0.122613</v>
      </c>
      <c r="S6" s="1">
        <v>0.12529199999999999</v>
      </c>
      <c r="T6" s="1">
        <v>0.121752</v>
      </c>
      <c r="U6" s="1"/>
      <c r="W6">
        <v>63.107999999999997</v>
      </c>
      <c r="X6">
        <v>62.985999999999997</v>
      </c>
      <c r="Y6">
        <v>140.86600000000001</v>
      </c>
      <c r="Z6">
        <v>185.667</v>
      </c>
      <c r="AA6">
        <v>147.34800000000001</v>
      </c>
      <c r="AD6">
        <v>70.382999999999996</v>
      </c>
      <c r="AE6">
        <v>66.625</v>
      </c>
      <c r="AF6">
        <v>143.874</v>
      </c>
      <c r="AG6">
        <v>151.09800000000001</v>
      </c>
      <c r="AH6">
        <v>146.81700000000001</v>
      </c>
      <c r="AK6">
        <v>73.117000000000004</v>
      </c>
      <c r="AL6">
        <v>71.712000000000003</v>
      </c>
      <c r="AM6">
        <v>146.37899999999999</v>
      </c>
      <c r="AN6">
        <v>153.40899999999999</v>
      </c>
      <c r="AO6">
        <v>149.624</v>
      </c>
    </row>
    <row r="7" spans="1:41">
      <c r="A7">
        <v>5</v>
      </c>
      <c r="B7">
        <v>115.343</v>
      </c>
      <c r="C7" s="1">
        <v>0.11536200000000001</v>
      </c>
      <c r="D7" s="1">
        <v>0.116413</v>
      </c>
      <c r="E7" s="1">
        <v>0.115789</v>
      </c>
      <c r="F7" s="1">
        <v>0.11594</v>
      </c>
      <c r="G7" s="1"/>
      <c r="I7">
        <v>127.149</v>
      </c>
      <c r="J7" s="1">
        <v>0.12211</v>
      </c>
      <c r="K7" s="1">
        <v>0.12027599999999999</v>
      </c>
      <c r="L7" s="1">
        <v>0.119724</v>
      </c>
      <c r="M7" s="1">
        <v>0.11709899999999999</v>
      </c>
      <c r="N7" s="1"/>
      <c r="P7">
        <v>122.52800000000001</v>
      </c>
      <c r="Q7" s="1">
        <v>0.121438</v>
      </c>
      <c r="R7" s="1">
        <v>0.120061</v>
      </c>
      <c r="S7" s="1">
        <v>0.124658</v>
      </c>
      <c r="T7" s="1">
        <v>0.123736</v>
      </c>
      <c r="U7" s="1"/>
      <c r="W7">
        <v>63.023000000000003</v>
      </c>
      <c r="X7">
        <v>62.322000000000003</v>
      </c>
      <c r="Y7">
        <v>142.07300000000001</v>
      </c>
      <c r="Z7">
        <v>194.32599999999999</v>
      </c>
      <c r="AA7">
        <v>148.04300000000001</v>
      </c>
      <c r="AD7">
        <v>66.495999999999995</v>
      </c>
      <c r="AE7">
        <v>66.084999999999994</v>
      </c>
      <c r="AF7">
        <v>143.61000000000001</v>
      </c>
      <c r="AG7">
        <v>148.25200000000001</v>
      </c>
      <c r="AH7">
        <v>143.51900000000001</v>
      </c>
      <c r="AK7">
        <v>67.896000000000001</v>
      </c>
      <c r="AL7">
        <v>67.905000000000001</v>
      </c>
      <c r="AM7">
        <v>142.24799999999999</v>
      </c>
      <c r="AN7">
        <v>155.28399999999999</v>
      </c>
      <c r="AO7">
        <v>145.34899999999999</v>
      </c>
    </row>
    <row r="8" spans="1:41">
      <c r="A8">
        <v>6</v>
      </c>
      <c r="B8">
        <v>141.81200000000001</v>
      </c>
      <c r="C8" s="1">
        <v>0.11703</v>
      </c>
      <c r="D8" s="1">
        <v>0.117976</v>
      </c>
      <c r="E8" s="1">
        <v>0.116923</v>
      </c>
      <c r="F8" s="1">
        <v>0.12661</v>
      </c>
      <c r="G8" s="1"/>
      <c r="I8">
        <v>117.348</v>
      </c>
      <c r="J8" s="1">
        <v>0.11752899999999999</v>
      </c>
      <c r="K8" s="1">
        <v>0.11949799999999999</v>
      </c>
      <c r="L8">
        <v>0.14158799999999999</v>
      </c>
      <c r="M8" s="1">
        <v>0.149254</v>
      </c>
      <c r="N8" s="1"/>
      <c r="P8">
        <v>122.611</v>
      </c>
      <c r="Q8" s="1">
        <v>0.15095700000000001</v>
      </c>
      <c r="R8" s="1">
        <v>0.13247900000000001</v>
      </c>
      <c r="S8" s="1">
        <v>0.12156699999999999</v>
      </c>
      <c r="T8" s="1">
        <v>0.118924</v>
      </c>
      <c r="U8" s="1"/>
      <c r="W8">
        <v>63.034999999999997</v>
      </c>
      <c r="X8">
        <v>62.444000000000003</v>
      </c>
      <c r="Y8">
        <v>140.93600000000001</v>
      </c>
      <c r="Z8">
        <v>185.465</v>
      </c>
      <c r="AA8">
        <v>166.36799999999999</v>
      </c>
      <c r="AD8">
        <v>64.881</v>
      </c>
      <c r="AE8">
        <v>65.457999999999998</v>
      </c>
      <c r="AF8">
        <v>138.64599999999999</v>
      </c>
      <c r="AG8">
        <v>146.62899999999999</v>
      </c>
      <c r="AH8">
        <v>140.309</v>
      </c>
      <c r="AK8">
        <v>70.120999999999995</v>
      </c>
      <c r="AL8">
        <v>67.42</v>
      </c>
      <c r="AM8">
        <v>161.02500000000001</v>
      </c>
      <c r="AN8">
        <v>153.33199999999999</v>
      </c>
      <c r="AO8">
        <v>146.33799999999999</v>
      </c>
    </row>
    <row r="9" spans="1:41">
      <c r="A9">
        <v>7</v>
      </c>
      <c r="B9">
        <v>132.345</v>
      </c>
      <c r="C9" s="1">
        <v>0.121646</v>
      </c>
      <c r="D9" s="1">
        <v>0.12081799999999999</v>
      </c>
      <c r="E9" s="1">
        <v>0.11847299999999999</v>
      </c>
      <c r="F9">
        <v>0.116316</v>
      </c>
      <c r="I9">
        <v>154.83099999999999</v>
      </c>
      <c r="J9" s="1">
        <v>0.15121200000000001</v>
      </c>
      <c r="K9" s="1">
        <v>0.13517399999999999</v>
      </c>
      <c r="L9" s="1">
        <v>0.13594200000000001</v>
      </c>
      <c r="M9" s="1">
        <v>0.12995799999999999</v>
      </c>
      <c r="N9" s="1"/>
      <c r="P9">
        <v>119.117</v>
      </c>
      <c r="Q9" s="1">
        <v>0.119654</v>
      </c>
      <c r="R9" s="1">
        <v>0.120351</v>
      </c>
      <c r="S9" s="1">
        <v>0.12906100000000001</v>
      </c>
      <c r="T9" s="1">
        <v>0.123431</v>
      </c>
      <c r="U9" s="1"/>
      <c r="W9">
        <v>63.11</v>
      </c>
      <c r="X9">
        <v>64.301000000000002</v>
      </c>
      <c r="Y9">
        <v>144.37899999999999</v>
      </c>
      <c r="Z9">
        <v>194.34899999999999</v>
      </c>
      <c r="AA9">
        <v>148.97499999999999</v>
      </c>
      <c r="AD9">
        <v>64.088999999999999</v>
      </c>
      <c r="AE9">
        <v>65.974000000000004</v>
      </c>
      <c r="AF9">
        <v>138.03100000000001</v>
      </c>
      <c r="AG9">
        <v>146.768</v>
      </c>
      <c r="AH9">
        <v>139.91200000000001</v>
      </c>
      <c r="AK9">
        <v>68.909000000000006</v>
      </c>
      <c r="AL9">
        <v>70.759</v>
      </c>
      <c r="AM9">
        <v>185.459</v>
      </c>
      <c r="AN9">
        <v>153.82400000000001</v>
      </c>
      <c r="AO9">
        <v>149.095</v>
      </c>
    </row>
    <row r="10" spans="1:41">
      <c r="A10">
        <v>8</v>
      </c>
      <c r="B10">
        <v>115.312</v>
      </c>
      <c r="C10">
        <v>0.115699</v>
      </c>
      <c r="D10">
        <v>0.124866</v>
      </c>
      <c r="E10" s="1">
        <v>0.117241</v>
      </c>
      <c r="F10">
        <v>0.11663900000000001</v>
      </c>
      <c r="I10">
        <v>140.79499999999999</v>
      </c>
      <c r="J10" s="1">
        <v>0.118838</v>
      </c>
      <c r="K10" s="1">
        <v>0.12873999999999999</v>
      </c>
      <c r="L10">
        <v>0.12998699999999999</v>
      </c>
      <c r="M10">
        <v>0.126497</v>
      </c>
      <c r="P10">
        <v>124.842</v>
      </c>
      <c r="Q10" s="1">
        <v>0.12241299999999999</v>
      </c>
      <c r="R10" s="1">
        <v>0.14908099999999999</v>
      </c>
      <c r="S10" s="1">
        <v>0.129217</v>
      </c>
      <c r="T10" s="1">
        <v>0.13514100000000001</v>
      </c>
      <c r="U10" s="1"/>
      <c r="W10">
        <v>63.274000000000001</v>
      </c>
      <c r="X10">
        <v>64.606999999999999</v>
      </c>
      <c r="Y10">
        <v>141.17699999999999</v>
      </c>
      <c r="Z10">
        <v>185.11</v>
      </c>
      <c r="AA10">
        <v>146.92599999999999</v>
      </c>
      <c r="AD10">
        <v>78.394999999999996</v>
      </c>
      <c r="AE10">
        <v>65.307000000000002</v>
      </c>
      <c r="AF10">
        <v>138.61799999999999</v>
      </c>
      <c r="AG10">
        <v>146.56200000000001</v>
      </c>
      <c r="AH10">
        <v>140.09899999999999</v>
      </c>
      <c r="AK10">
        <v>89.58</v>
      </c>
      <c r="AL10">
        <v>77.412000000000006</v>
      </c>
      <c r="AM10">
        <v>153.08000000000001</v>
      </c>
      <c r="AN10">
        <v>179.69900000000001</v>
      </c>
      <c r="AO10">
        <v>146.87700000000001</v>
      </c>
    </row>
    <row r="11" spans="1:41">
      <c r="A11">
        <v>9</v>
      </c>
      <c r="B11">
        <v>115.72499999999999</v>
      </c>
      <c r="C11" s="1">
        <v>0.115275</v>
      </c>
      <c r="D11">
        <v>0.115747</v>
      </c>
      <c r="E11">
        <v>0.115815</v>
      </c>
      <c r="F11" s="1">
        <v>0.115717</v>
      </c>
      <c r="G11" s="1"/>
      <c r="I11">
        <v>152.577</v>
      </c>
      <c r="J11">
        <v>0.12581800000000001</v>
      </c>
      <c r="K11">
        <v>0.12868099999999999</v>
      </c>
      <c r="L11">
        <v>0.13056499999999999</v>
      </c>
      <c r="M11">
        <v>0.12668499999999999</v>
      </c>
      <c r="P11">
        <v>125.371</v>
      </c>
      <c r="Q11" s="1">
        <v>0.13117200000000001</v>
      </c>
      <c r="R11" s="1">
        <v>0.123533</v>
      </c>
      <c r="S11" s="1">
        <v>0.12539</v>
      </c>
      <c r="T11" s="1">
        <v>0.118811</v>
      </c>
      <c r="U11" s="1"/>
      <c r="W11">
        <v>62.962000000000003</v>
      </c>
      <c r="X11">
        <v>64.334999999999994</v>
      </c>
      <c r="Y11">
        <v>142.01900000000001</v>
      </c>
      <c r="Z11">
        <v>195.143</v>
      </c>
      <c r="AA11">
        <v>147.566</v>
      </c>
      <c r="AD11">
        <v>64.015000000000001</v>
      </c>
      <c r="AE11">
        <v>65.299000000000007</v>
      </c>
      <c r="AF11">
        <v>138.26</v>
      </c>
      <c r="AG11">
        <v>146.376</v>
      </c>
      <c r="AH11">
        <v>139.916</v>
      </c>
      <c r="AK11">
        <v>66.786000000000001</v>
      </c>
      <c r="AL11">
        <v>67.849999999999994</v>
      </c>
      <c r="AM11">
        <v>145.47800000000001</v>
      </c>
      <c r="AN11">
        <v>152.02699999999999</v>
      </c>
      <c r="AO11">
        <v>167.58099999999999</v>
      </c>
    </row>
    <row r="12" spans="1:41">
      <c r="A12">
        <v>10</v>
      </c>
      <c r="B12">
        <v>115.339</v>
      </c>
      <c r="C12" s="1">
        <v>0.13567799999999999</v>
      </c>
      <c r="D12" s="1">
        <v>0.116379</v>
      </c>
      <c r="E12" s="1">
        <v>0.11658499999999999</v>
      </c>
      <c r="F12" s="1">
        <v>0.116081</v>
      </c>
      <c r="G12" s="1"/>
      <c r="I12">
        <v>122.721</v>
      </c>
      <c r="J12">
        <v>0.124182</v>
      </c>
      <c r="K12">
        <v>0.12542</v>
      </c>
      <c r="L12" s="1">
        <v>0.12768099999999999</v>
      </c>
      <c r="M12" s="1">
        <v>0.12105399999999999</v>
      </c>
      <c r="N12" s="1"/>
      <c r="P12">
        <v>121.66200000000001</v>
      </c>
      <c r="Q12" s="1">
        <v>0.119175</v>
      </c>
      <c r="R12" s="1">
        <v>0.15087700000000001</v>
      </c>
      <c r="S12" s="1">
        <v>0.124403</v>
      </c>
      <c r="T12" s="1">
        <v>0.12928999999999999</v>
      </c>
      <c r="U12" s="1"/>
      <c r="W12">
        <v>62.898000000000003</v>
      </c>
      <c r="X12">
        <v>62.36</v>
      </c>
      <c r="Y12">
        <v>141.97800000000001</v>
      </c>
      <c r="Z12">
        <v>185.83099999999999</v>
      </c>
      <c r="AA12">
        <v>171.804</v>
      </c>
      <c r="AD12">
        <v>64.986000000000004</v>
      </c>
      <c r="AE12">
        <v>65.378</v>
      </c>
      <c r="AF12">
        <v>138.512</v>
      </c>
      <c r="AG12">
        <v>146.31299999999999</v>
      </c>
      <c r="AH12">
        <v>139.977</v>
      </c>
      <c r="AK12">
        <v>65.3</v>
      </c>
      <c r="AL12">
        <v>65.759</v>
      </c>
      <c r="AM12">
        <v>141.21</v>
      </c>
      <c r="AN12">
        <v>149.54</v>
      </c>
      <c r="AO12">
        <v>143.917</v>
      </c>
    </row>
    <row r="13" spans="1:41">
      <c r="A13">
        <v>11</v>
      </c>
      <c r="B13">
        <v>116.76</v>
      </c>
      <c r="C13" s="1">
        <v>0.11604</v>
      </c>
      <c r="D13" s="1">
        <v>0.116828</v>
      </c>
      <c r="E13" s="1">
        <v>0.116199</v>
      </c>
      <c r="F13" s="1">
        <v>0.115997</v>
      </c>
      <c r="G13" s="1"/>
      <c r="I13">
        <v>170.76300000000001</v>
      </c>
      <c r="J13" s="1">
        <v>0.126466</v>
      </c>
      <c r="K13" s="1">
        <v>0.123677</v>
      </c>
      <c r="L13" s="1">
        <v>0.125969</v>
      </c>
      <c r="M13" s="1">
        <v>0.123808</v>
      </c>
      <c r="N13" s="1"/>
      <c r="P13">
        <v>126.521</v>
      </c>
      <c r="Q13" s="1">
        <v>0.124945</v>
      </c>
      <c r="R13" s="1">
        <v>0.123552</v>
      </c>
      <c r="S13">
        <v>0.119585</v>
      </c>
      <c r="T13">
        <v>0.118807</v>
      </c>
      <c r="W13">
        <v>63.36</v>
      </c>
      <c r="X13">
        <v>62.698</v>
      </c>
      <c r="Y13">
        <v>143.01</v>
      </c>
      <c r="Z13">
        <v>193.631</v>
      </c>
      <c r="AA13">
        <v>146.452</v>
      </c>
      <c r="AD13">
        <v>64.001999999999995</v>
      </c>
      <c r="AE13">
        <v>65.087999999999994</v>
      </c>
      <c r="AF13">
        <v>138.15199999999999</v>
      </c>
      <c r="AG13">
        <v>146.43700000000001</v>
      </c>
      <c r="AH13">
        <v>140</v>
      </c>
      <c r="AK13">
        <v>65.352000000000004</v>
      </c>
      <c r="AL13">
        <v>65.555999999999997</v>
      </c>
      <c r="AM13">
        <v>140.376</v>
      </c>
      <c r="AN13">
        <v>149.483</v>
      </c>
      <c r="AO13">
        <v>159.30099999999999</v>
      </c>
    </row>
    <row r="14" spans="1:41">
      <c r="A14">
        <v>12</v>
      </c>
      <c r="B14">
        <v>114.68600000000001</v>
      </c>
      <c r="C14" s="1">
        <v>0.11556900000000001</v>
      </c>
      <c r="D14" s="1">
        <v>0.116726</v>
      </c>
      <c r="E14" s="1">
        <v>0.115965</v>
      </c>
      <c r="F14" s="1">
        <v>0.115366</v>
      </c>
      <c r="G14" s="1"/>
      <c r="I14">
        <v>125.04</v>
      </c>
      <c r="J14">
        <v>0.12701499999999999</v>
      </c>
      <c r="K14" s="1">
        <v>0.12209200000000001</v>
      </c>
      <c r="L14">
        <v>0.12619</v>
      </c>
      <c r="M14" s="1">
        <v>0.122754</v>
      </c>
      <c r="N14" s="1"/>
      <c r="P14">
        <v>124.539</v>
      </c>
      <c r="Q14">
        <v>0.122306</v>
      </c>
      <c r="R14">
        <v>0.127055</v>
      </c>
      <c r="S14">
        <v>0.123781</v>
      </c>
      <c r="T14" s="1">
        <v>0.123891</v>
      </c>
      <c r="U14" s="1"/>
      <c r="W14">
        <v>62.951000000000001</v>
      </c>
      <c r="X14">
        <v>62.423999999999999</v>
      </c>
      <c r="Y14">
        <v>140.577</v>
      </c>
      <c r="Z14">
        <v>185.65</v>
      </c>
      <c r="AA14">
        <v>146.779</v>
      </c>
      <c r="AD14">
        <v>64.930999999999997</v>
      </c>
      <c r="AE14">
        <v>65.510999999999996</v>
      </c>
      <c r="AF14">
        <v>138.53299999999999</v>
      </c>
      <c r="AG14">
        <v>171.285</v>
      </c>
      <c r="AH14">
        <v>140.464</v>
      </c>
      <c r="AK14">
        <v>67.266000000000005</v>
      </c>
      <c r="AL14">
        <v>66.415999999999997</v>
      </c>
      <c r="AM14">
        <v>140.1</v>
      </c>
      <c r="AN14">
        <v>149.1</v>
      </c>
      <c r="AO14">
        <v>142.38800000000001</v>
      </c>
    </row>
    <row r="15" spans="1:41">
      <c r="A15">
        <v>13</v>
      </c>
      <c r="B15">
        <v>116.276</v>
      </c>
      <c r="C15" s="1">
        <v>0.116395</v>
      </c>
      <c r="D15" s="1">
        <v>0.11601599999999999</v>
      </c>
      <c r="E15" s="1">
        <v>0.115716</v>
      </c>
      <c r="F15" s="1">
        <v>0.11513900000000001</v>
      </c>
      <c r="G15" s="1"/>
      <c r="I15">
        <v>122.995</v>
      </c>
      <c r="J15" s="1">
        <v>0.124044</v>
      </c>
      <c r="K15" s="1">
        <v>0.120922</v>
      </c>
      <c r="L15" s="1">
        <v>0.12950700000000001</v>
      </c>
      <c r="M15" s="1">
        <v>0.126605</v>
      </c>
      <c r="N15" s="1"/>
      <c r="P15">
        <v>126.875</v>
      </c>
      <c r="Q15" s="1">
        <v>0.123946</v>
      </c>
      <c r="R15" s="1">
        <v>0.120347</v>
      </c>
      <c r="S15" s="1">
        <v>0.12634400000000001</v>
      </c>
      <c r="T15" s="1">
        <v>0.123845</v>
      </c>
      <c r="U15" s="1"/>
      <c r="W15">
        <v>63.064</v>
      </c>
      <c r="X15">
        <v>62.314</v>
      </c>
      <c r="Y15">
        <v>142.99600000000001</v>
      </c>
      <c r="Z15">
        <v>195.34200000000001</v>
      </c>
      <c r="AA15">
        <v>146.655</v>
      </c>
      <c r="AD15">
        <v>64.676000000000002</v>
      </c>
      <c r="AE15">
        <v>65.697000000000003</v>
      </c>
      <c r="AF15">
        <v>138.19</v>
      </c>
      <c r="AG15">
        <v>146.55000000000001</v>
      </c>
      <c r="AH15">
        <v>139.78399999999999</v>
      </c>
      <c r="AK15">
        <v>65.456999999999994</v>
      </c>
      <c r="AL15">
        <v>65.427999999999997</v>
      </c>
      <c r="AM15">
        <v>140.124</v>
      </c>
      <c r="AN15">
        <v>149.02699999999999</v>
      </c>
      <c r="AO15">
        <v>143.24199999999999</v>
      </c>
    </row>
    <row r="16" spans="1:41">
      <c r="A16">
        <v>14</v>
      </c>
      <c r="B16">
        <v>116.33199999999999</v>
      </c>
      <c r="C16">
        <v>0.116896</v>
      </c>
      <c r="D16">
        <v>0.118119</v>
      </c>
      <c r="E16" s="1">
        <v>0.134327</v>
      </c>
      <c r="F16" s="1">
        <v>0.115039</v>
      </c>
      <c r="G16" s="1"/>
      <c r="I16">
        <v>120.33199999999999</v>
      </c>
      <c r="J16" s="1">
        <v>0.12925300000000001</v>
      </c>
      <c r="K16" s="1">
        <v>0.12262099999999999</v>
      </c>
      <c r="L16" s="1">
        <v>0.11813800000000001</v>
      </c>
      <c r="M16" s="1">
        <v>0.12309299999999999</v>
      </c>
      <c r="N16" s="1"/>
      <c r="P16">
        <v>124.876</v>
      </c>
      <c r="Q16" s="1">
        <v>0.125171</v>
      </c>
      <c r="R16" s="1">
        <v>0.14775099999999999</v>
      </c>
      <c r="S16" s="1">
        <v>0.121602</v>
      </c>
      <c r="T16" s="1">
        <v>0.118937</v>
      </c>
      <c r="U16" s="1"/>
      <c r="W16">
        <v>63.475000000000001</v>
      </c>
      <c r="X16">
        <v>62.674999999999997</v>
      </c>
      <c r="Y16">
        <v>140.792</v>
      </c>
      <c r="Z16">
        <v>184.708</v>
      </c>
      <c r="AA16">
        <v>146.56100000000001</v>
      </c>
      <c r="AD16">
        <v>64.876999999999995</v>
      </c>
      <c r="AE16">
        <v>65.301000000000002</v>
      </c>
      <c r="AF16">
        <v>138.37700000000001</v>
      </c>
      <c r="AG16">
        <v>146.35400000000001</v>
      </c>
      <c r="AH16">
        <v>140.94499999999999</v>
      </c>
      <c r="AK16">
        <v>65.759</v>
      </c>
      <c r="AL16">
        <v>65.712000000000003</v>
      </c>
      <c r="AM16">
        <v>139.874</v>
      </c>
      <c r="AN16">
        <v>149.249</v>
      </c>
      <c r="AO16">
        <v>142.69999999999999</v>
      </c>
    </row>
    <row r="17" spans="1:41">
      <c r="A17">
        <v>15</v>
      </c>
      <c r="B17">
        <v>114.76900000000001</v>
      </c>
      <c r="C17" s="1">
        <v>0.117408</v>
      </c>
      <c r="D17" s="1">
        <v>0.117317</v>
      </c>
      <c r="E17" s="1">
        <v>0.116546</v>
      </c>
      <c r="F17" s="1">
        <v>0.11604100000000001</v>
      </c>
      <c r="G17" s="1"/>
      <c r="I17">
        <v>148.03700000000001</v>
      </c>
      <c r="J17" s="1">
        <v>0.121557</v>
      </c>
      <c r="K17" s="1">
        <v>0.120799</v>
      </c>
      <c r="L17" s="1">
        <v>0.121806</v>
      </c>
      <c r="M17" s="1">
        <v>0.12118900000000001</v>
      </c>
      <c r="N17" s="1"/>
      <c r="P17">
        <v>123.083</v>
      </c>
      <c r="Q17">
        <v>0.12442499999999999</v>
      </c>
      <c r="R17">
        <v>0.123986</v>
      </c>
      <c r="S17" s="1">
        <v>0.118738</v>
      </c>
      <c r="T17" s="1">
        <v>0.118837</v>
      </c>
      <c r="U17" s="1"/>
      <c r="W17">
        <v>62.844999999999999</v>
      </c>
      <c r="X17">
        <v>62.506999999999998</v>
      </c>
      <c r="Y17">
        <v>142.49299999999999</v>
      </c>
      <c r="Z17">
        <v>207.762</v>
      </c>
      <c r="AA17">
        <v>151.69800000000001</v>
      </c>
      <c r="AD17">
        <v>64.275000000000006</v>
      </c>
      <c r="AE17">
        <v>65.293999999999997</v>
      </c>
      <c r="AF17">
        <v>137.93</v>
      </c>
      <c r="AG17">
        <v>147.46100000000001</v>
      </c>
      <c r="AH17">
        <v>140.40700000000001</v>
      </c>
      <c r="AK17">
        <v>65.242000000000004</v>
      </c>
      <c r="AL17">
        <v>65.622</v>
      </c>
      <c r="AM17">
        <v>139.68199999999999</v>
      </c>
      <c r="AN17">
        <v>150.971</v>
      </c>
      <c r="AO17">
        <v>142.45699999999999</v>
      </c>
    </row>
    <row r="18" spans="1:41">
      <c r="A18">
        <v>16</v>
      </c>
      <c r="B18">
        <v>116.54300000000001</v>
      </c>
      <c r="C18" s="1">
        <v>0.11550299999999999</v>
      </c>
      <c r="D18" s="1">
        <v>0.115984</v>
      </c>
      <c r="E18" s="1">
        <v>0.116703</v>
      </c>
      <c r="F18" s="1">
        <v>0.11547399999999999</v>
      </c>
      <c r="G18" s="1"/>
      <c r="I18">
        <v>123.261</v>
      </c>
      <c r="J18" s="1">
        <v>0.120393</v>
      </c>
      <c r="K18" s="1">
        <v>0.11878</v>
      </c>
      <c r="L18" s="1">
        <v>0.120964</v>
      </c>
      <c r="M18" s="1">
        <v>0.11919100000000001</v>
      </c>
      <c r="N18" s="1"/>
      <c r="P18">
        <v>121.321</v>
      </c>
      <c r="Q18" s="1">
        <v>0.12103700000000001</v>
      </c>
      <c r="R18" s="1">
        <v>0.12485499999999999</v>
      </c>
      <c r="S18" s="1">
        <v>0.119503</v>
      </c>
      <c r="T18" s="1">
        <v>0.120786</v>
      </c>
      <c r="U18" s="1"/>
      <c r="W18">
        <v>63.421999999999997</v>
      </c>
      <c r="X18">
        <v>62.658999999999999</v>
      </c>
      <c r="Y18">
        <v>140.482</v>
      </c>
      <c r="Z18">
        <v>184.53899999999999</v>
      </c>
      <c r="AA18">
        <v>146.33199999999999</v>
      </c>
      <c r="AD18">
        <v>64.921000000000006</v>
      </c>
      <c r="AE18">
        <v>65.253</v>
      </c>
      <c r="AF18">
        <v>138.13499999999999</v>
      </c>
      <c r="AG18">
        <v>147.21199999999999</v>
      </c>
      <c r="AH18">
        <v>140.29</v>
      </c>
      <c r="AK18">
        <v>65.536000000000001</v>
      </c>
      <c r="AL18">
        <v>65.447000000000003</v>
      </c>
      <c r="AM18">
        <v>166.625</v>
      </c>
      <c r="AN18">
        <v>149.48099999999999</v>
      </c>
      <c r="AO18">
        <v>144.02699999999999</v>
      </c>
    </row>
    <row r="19" spans="1:41">
      <c r="A19">
        <v>17</v>
      </c>
      <c r="B19">
        <v>115.536</v>
      </c>
      <c r="C19" s="1">
        <v>0.11537</v>
      </c>
      <c r="D19" s="1">
        <v>0.115633</v>
      </c>
      <c r="E19">
        <v>0.116273</v>
      </c>
      <c r="F19" s="1">
        <v>0.11554499999999999</v>
      </c>
      <c r="G19" s="1"/>
      <c r="I19">
        <v>120.22799999999999</v>
      </c>
      <c r="J19" s="1">
        <v>0.118469</v>
      </c>
      <c r="K19" s="1">
        <v>0.12278799999999999</v>
      </c>
      <c r="L19">
        <v>0.123253</v>
      </c>
      <c r="M19" s="1">
        <v>0.119201</v>
      </c>
      <c r="N19" s="1"/>
      <c r="P19">
        <v>121.212</v>
      </c>
      <c r="Q19" s="1">
        <v>0.124484</v>
      </c>
      <c r="R19" s="1">
        <v>0.122791</v>
      </c>
      <c r="S19">
        <v>0.12786800000000001</v>
      </c>
      <c r="T19" s="1">
        <v>0.12461999999999999</v>
      </c>
      <c r="U19" s="1"/>
      <c r="W19">
        <v>62.780999999999999</v>
      </c>
      <c r="X19">
        <v>62.828000000000003</v>
      </c>
      <c r="Y19">
        <v>142.381</v>
      </c>
      <c r="Z19">
        <v>193.886</v>
      </c>
      <c r="AA19">
        <v>146.71100000000001</v>
      </c>
      <c r="AD19">
        <v>80.465000000000003</v>
      </c>
      <c r="AE19">
        <v>65.647999999999996</v>
      </c>
      <c r="AF19">
        <v>137.93899999999999</v>
      </c>
      <c r="AG19">
        <v>147.708</v>
      </c>
      <c r="AH19">
        <v>140.02500000000001</v>
      </c>
      <c r="AK19">
        <v>65.734999999999999</v>
      </c>
      <c r="AL19">
        <v>65.573999999999998</v>
      </c>
      <c r="AM19">
        <v>141.09800000000001</v>
      </c>
      <c r="AN19">
        <v>148.792</v>
      </c>
      <c r="AO19">
        <v>142.154</v>
      </c>
    </row>
    <row r="20" spans="1:41">
      <c r="A20">
        <v>18</v>
      </c>
      <c r="B20">
        <v>115.33199999999999</v>
      </c>
      <c r="C20" s="1">
        <v>0.11556</v>
      </c>
      <c r="D20" s="1">
        <v>0.11647299999999999</v>
      </c>
      <c r="E20" s="1">
        <v>0.11640399999999999</v>
      </c>
      <c r="F20" s="1">
        <v>0.14241999999999999</v>
      </c>
      <c r="G20" s="1"/>
      <c r="H20" s="1"/>
      <c r="I20">
        <v>123.681</v>
      </c>
      <c r="J20" s="1">
        <v>0.121432</v>
      </c>
      <c r="K20" s="1">
        <v>0.122075</v>
      </c>
      <c r="L20" s="1">
        <v>0.12511800000000001</v>
      </c>
      <c r="M20" s="1">
        <v>0.11967999999999999</v>
      </c>
      <c r="N20" s="1"/>
      <c r="P20">
        <v>123.79900000000001</v>
      </c>
      <c r="Q20" s="1">
        <v>0.118923</v>
      </c>
      <c r="R20" s="1">
        <v>0.119446</v>
      </c>
      <c r="S20" s="1">
        <v>0.13747799999999999</v>
      </c>
      <c r="T20" s="1">
        <v>0.12851799999999999</v>
      </c>
      <c r="U20" s="1"/>
      <c r="W20">
        <v>64.126999999999995</v>
      </c>
      <c r="X20">
        <v>62.375</v>
      </c>
      <c r="Y20">
        <v>140.54</v>
      </c>
      <c r="Z20">
        <v>185.49600000000001</v>
      </c>
      <c r="AA20">
        <v>147.00200000000001</v>
      </c>
      <c r="AD20">
        <v>65.066000000000003</v>
      </c>
      <c r="AE20">
        <v>65.372</v>
      </c>
      <c r="AF20">
        <v>141.67400000000001</v>
      </c>
      <c r="AG20">
        <v>156.31399999999999</v>
      </c>
      <c r="AH20">
        <v>142.36600000000001</v>
      </c>
      <c r="AK20">
        <v>65.733000000000004</v>
      </c>
      <c r="AL20">
        <v>65.385000000000005</v>
      </c>
      <c r="AM20">
        <v>140.59</v>
      </c>
      <c r="AN20">
        <v>149.41499999999999</v>
      </c>
      <c r="AO20">
        <v>141.797</v>
      </c>
    </row>
    <row r="21" spans="1:41">
      <c r="A21">
        <v>19</v>
      </c>
      <c r="B21">
        <v>117.33</v>
      </c>
      <c r="C21" s="1">
        <v>0.11817</v>
      </c>
      <c r="D21" s="1">
        <v>0.115978</v>
      </c>
      <c r="E21" s="1">
        <v>0.115413</v>
      </c>
      <c r="F21" s="1">
        <v>0.115354</v>
      </c>
      <c r="G21" s="1"/>
      <c r="H21" s="1"/>
      <c r="I21">
        <v>121.648</v>
      </c>
      <c r="J21">
        <v>0.153116</v>
      </c>
      <c r="K21" s="1">
        <v>0.119168</v>
      </c>
      <c r="L21" s="1">
        <v>0.121325</v>
      </c>
      <c r="M21" s="1">
        <v>0.118705</v>
      </c>
      <c r="N21" s="1"/>
      <c r="P21">
        <v>126.47</v>
      </c>
      <c r="Q21" s="1">
        <v>0.13852900000000001</v>
      </c>
      <c r="R21" s="1">
        <v>0.137654</v>
      </c>
      <c r="S21" s="1">
        <v>0.137826</v>
      </c>
      <c r="T21" s="1">
        <v>0.12520600000000001</v>
      </c>
      <c r="U21" s="1"/>
      <c r="W21">
        <v>63.908999999999999</v>
      </c>
      <c r="X21">
        <v>62.238</v>
      </c>
      <c r="Y21">
        <v>142.34800000000001</v>
      </c>
      <c r="Z21">
        <v>218.923</v>
      </c>
      <c r="AA21">
        <v>146.768</v>
      </c>
      <c r="AD21">
        <v>65.677999999999997</v>
      </c>
      <c r="AE21">
        <v>66.641000000000005</v>
      </c>
      <c r="AF21">
        <v>141.56700000000001</v>
      </c>
      <c r="AG21">
        <v>147.577</v>
      </c>
      <c r="AH21">
        <v>140.501</v>
      </c>
      <c r="AK21">
        <v>64.900000000000006</v>
      </c>
      <c r="AL21">
        <v>66.027000000000001</v>
      </c>
      <c r="AM21">
        <v>143.24</v>
      </c>
      <c r="AN21">
        <v>148.797</v>
      </c>
      <c r="AO21">
        <v>144.55699999999999</v>
      </c>
    </row>
    <row r="22" spans="1:41">
      <c r="A22">
        <v>20</v>
      </c>
      <c r="B22">
        <v>115.509</v>
      </c>
      <c r="C22" s="1">
        <v>0.115539</v>
      </c>
      <c r="D22" s="1">
        <v>0.115687</v>
      </c>
      <c r="E22" s="1">
        <v>0.11550100000000001</v>
      </c>
      <c r="F22" s="1">
        <v>0.11604200000000001</v>
      </c>
      <c r="G22" s="1"/>
      <c r="H22" s="1"/>
      <c r="I22">
        <v>118.586</v>
      </c>
      <c r="J22" s="1">
        <v>0.12001299999999999</v>
      </c>
      <c r="K22" s="1">
        <v>0.118881</v>
      </c>
      <c r="L22" s="1">
        <v>0.12526000000000001</v>
      </c>
      <c r="M22" s="1">
        <v>0.122991</v>
      </c>
      <c r="N22" s="1"/>
      <c r="P22">
        <v>139.755</v>
      </c>
      <c r="Q22" s="1">
        <v>0.140377</v>
      </c>
      <c r="R22" s="1">
        <v>0.136155</v>
      </c>
      <c r="S22" s="1">
        <v>0.13077</v>
      </c>
      <c r="T22">
        <v>0.13252700000000001</v>
      </c>
      <c r="W22">
        <v>63.137</v>
      </c>
      <c r="X22">
        <v>62.936999999999998</v>
      </c>
      <c r="Y22">
        <v>141.964</v>
      </c>
      <c r="Z22">
        <v>187.428</v>
      </c>
      <c r="AA22">
        <v>148.85300000000001</v>
      </c>
      <c r="AD22">
        <v>66.215999999999994</v>
      </c>
      <c r="AE22">
        <v>66.569999999999993</v>
      </c>
      <c r="AF22">
        <v>157.56700000000001</v>
      </c>
      <c r="AG22">
        <v>220.245</v>
      </c>
      <c r="AH22">
        <v>143.43100000000001</v>
      </c>
      <c r="AK22">
        <v>66.144999999999996</v>
      </c>
      <c r="AL22">
        <v>65.510999999999996</v>
      </c>
      <c r="AM22">
        <v>143.78299999999999</v>
      </c>
      <c r="AN22">
        <v>172.68100000000001</v>
      </c>
      <c r="AO22">
        <v>141.80699999999999</v>
      </c>
    </row>
    <row r="23" spans="1:41">
      <c r="C23" s="1"/>
      <c r="D23" s="1"/>
      <c r="E23" s="1"/>
      <c r="F23" s="1"/>
      <c r="G23" s="1"/>
      <c r="H23" s="1"/>
      <c r="J23" s="1"/>
      <c r="K23" s="1"/>
      <c r="L23" s="1"/>
      <c r="M23" s="1"/>
      <c r="N23" s="1"/>
      <c r="Q23" s="1"/>
      <c r="S23" s="1"/>
      <c r="T23" s="1"/>
      <c r="U23" s="1"/>
    </row>
    <row r="24" spans="1:41">
      <c r="C24" s="1"/>
      <c r="D24" s="1"/>
      <c r="E24" s="1"/>
      <c r="F24" s="1"/>
      <c r="G24" s="1"/>
      <c r="H24" s="1"/>
      <c r="J24" s="1"/>
      <c r="K24" s="1"/>
      <c r="Q24" s="1"/>
      <c r="R24" s="1"/>
      <c r="S24" s="1"/>
      <c r="T24" s="1"/>
      <c r="U24" s="1"/>
    </row>
    <row r="25" spans="1:41">
      <c r="C25" s="1"/>
      <c r="D25" s="1"/>
      <c r="E25" s="1"/>
      <c r="F25" s="1"/>
      <c r="G25" s="1"/>
      <c r="J25" s="1"/>
      <c r="K25" s="1"/>
      <c r="L25" s="1"/>
      <c r="M25" s="1"/>
      <c r="N25" s="1"/>
      <c r="Q25" s="1"/>
      <c r="R25" s="1"/>
      <c r="S25" s="1"/>
      <c r="T25" s="1"/>
      <c r="U25" s="1"/>
    </row>
    <row r="26" spans="1:41" hidden="1">
      <c r="C26" s="1"/>
      <c r="D26" s="1"/>
      <c r="E26" s="1"/>
      <c r="F26" s="1"/>
      <c r="G26" s="1"/>
      <c r="J26" s="1"/>
      <c r="L26" s="1"/>
      <c r="M26" s="1"/>
      <c r="N26" s="1"/>
      <c r="Q26" s="1"/>
      <c r="S26" s="1"/>
      <c r="T26" s="1"/>
      <c r="U26" s="1"/>
    </row>
    <row r="27" spans="1:41" hidden="1">
      <c r="C27" s="1"/>
      <c r="D27" s="1"/>
      <c r="E27" s="1"/>
      <c r="H27" s="1"/>
      <c r="J27" s="1"/>
      <c r="K27" s="1"/>
      <c r="L27" s="1"/>
      <c r="M27" s="1"/>
      <c r="N27" s="1"/>
      <c r="S27" s="1"/>
      <c r="T27" s="1"/>
      <c r="U27" s="1"/>
    </row>
    <row r="28" spans="1:41" hidden="1">
      <c r="C28" s="1"/>
      <c r="D28" s="1"/>
      <c r="E28" s="1"/>
      <c r="F28" s="1"/>
      <c r="G28" s="1"/>
      <c r="H28" s="1"/>
      <c r="J28" s="1"/>
      <c r="K28" s="1"/>
      <c r="L28" s="1"/>
      <c r="M28" s="1"/>
      <c r="N28" s="1"/>
      <c r="Q28" s="1"/>
      <c r="R28" s="1"/>
      <c r="S28" s="1"/>
      <c r="T28" s="1"/>
      <c r="U28" s="1"/>
    </row>
    <row r="29" spans="1:41" hidden="1">
      <c r="C29" s="1"/>
      <c r="D29" s="1"/>
      <c r="E29" s="1"/>
      <c r="F29" s="1"/>
      <c r="G29" s="1"/>
      <c r="H29" s="1"/>
      <c r="J29" s="1"/>
      <c r="K29" s="1"/>
      <c r="L29" s="1"/>
      <c r="Q29" s="1"/>
      <c r="R29" s="1"/>
      <c r="S29" s="1"/>
      <c r="T29" s="1"/>
      <c r="U29" s="1"/>
    </row>
    <row r="30" spans="1:41" hidden="1">
      <c r="C30" s="1"/>
      <c r="D30" s="1"/>
      <c r="E30" s="1"/>
      <c r="F30" s="1"/>
      <c r="G30" s="1"/>
      <c r="H30" s="1"/>
      <c r="K30" s="1"/>
      <c r="L30" s="1"/>
      <c r="M30" s="1"/>
      <c r="N30" s="1"/>
      <c r="Q30" s="1"/>
      <c r="R30" s="1"/>
      <c r="T30" s="1"/>
      <c r="U30" s="1"/>
    </row>
    <row r="31" spans="1:41" hidden="1">
      <c r="D31" s="1"/>
      <c r="E31" s="1"/>
      <c r="F31" s="1"/>
      <c r="G31" s="1"/>
      <c r="H31" s="1"/>
      <c r="J31" s="1"/>
      <c r="L31" s="1"/>
      <c r="M31" s="1"/>
      <c r="N31" s="1"/>
      <c r="Q31" s="1"/>
      <c r="R31" s="1"/>
      <c r="S31" s="1"/>
      <c r="T31" s="1"/>
      <c r="U31" s="1"/>
    </row>
    <row r="32" spans="1:41" hidden="1">
      <c r="C32" s="1"/>
      <c r="D32" s="1"/>
      <c r="E32" s="1"/>
      <c r="F32" s="1"/>
      <c r="G32" s="1"/>
      <c r="H32" s="1"/>
      <c r="J32" s="1"/>
      <c r="K32" s="1"/>
      <c r="L32" s="1"/>
      <c r="M32" s="1"/>
      <c r="N32" s="1"/>
      <c r="S32" s="1"/>
      <c r="T32" s="1"/>
      <c r="U32" s="1"/>
    </row>
    <row r="33" spans="3:21" hidden="1">
      <c r="D33" s="1"/>
      <c r="E33" s="1"/>
      <c r="F33" s="1"/>
      <c r="G33" s="1"/>
      <c r="H33" s="1"/>
      <c r="J33" s="1"/>
      <c r="L33" s="1"/>
      <c r="Q33" s="1"/>
      <c r="S33" s="1"/>
      <c r="T33" s="1"/>
      <c r="U33" s="1"/>
    </row>
    <row r="34" spans="3:21" hidden="1">
      <c r="C34" s="1"/>
      <c r="D34" s="1"/>
      <c r="E34" s="1"/>
      <c r="F34" s="1"/>
      <c r="G34" s="1"/>
      <c r="H34" s="1"/>
      <c r="J34" s="1"/>
      <c r="K34" s="1"/>
      <c r="M34" s="1"/>
      <c r="N34" s="1"/>
      <c r="Q34" s="1"/>
      <c r="R34" s="1"/>
      <c r="S34" s="1"/>
      <c r="T34" s="1"/>
      <c r="U34" s="1"/>
    </row>
    <row r="35" spans="3:21" hidden="1">
      <c r="C35" s="1"/>
      <c r="D35" s="1"/>
      <c r="E35" s="1"/>
      <c r="F35" s="1"/>
      <c r="G35" s="1"/>
      <c r="H35" s="1"/>
      <c r="J35" s="1"/>
      <c r="K35" s="1"/>
      <c r="L35" s="1"/>
      <c r="M35" s="1"/>
      <c r="N35" s="1"/>
      <c r="Q35" s="1"/>
      <c r="R35" s="1"/>
      <c r="S35" s="1"/>
      <c r="T35" s="1"/>
      <c r="U35" s="1"/>
    </row>
    <row r="36" spans="3:21" hidden="1">
      <c r="C36" s="1"/>
      <c r="D36" s="1"/>
      <c r="E36" s="1"/>
      <c r="F36" s="1"/>
      <c r="G36" s="1"/>
      <c r="H36" s="1"/>
      <c r="J36" s="1"/>
      <c r="K36" s="1"/>
      <c r="L36" s="1"/>
      <c r="M36" s="1"/>
      <c r="N36" s="1"/>
      <c r="Q36" s="1"/>
      <c r="R36" s="1"/>
      <c r="S36" s="1"/>
    </row>
    <row r="37" spans="3:21" hidden="1">
      <c r="C37" s="1"/>
      <c r="D37" s="1"/>
      <c r="E37" s="1"/>
      <c r="H37" s="1"/>
      <c r="J37" s="1"/>
      <c r="L37" s="1"/>
      <c r="M37" s="1"/>
      <c r="N37" s="1"/>
      <c r="Q37" s="1"/>
      <c r="R37" s="1"/>
      <c r="S37" s="1"/>
      <c r="T37" s="1"/>
      <c r="U37" s="1"/>
    </row>
    <row r="38" spans="3:21" hidden="1">
      <c r="C38" s="1"/>
      <c r="D38" s="1"/>
      <c r="E38" s="1"/>
      <c r="F38" s="1"/>
      <c r="G38" s="1"/>
      <c r="H38" s="1"/>
      <c r="J38" s="1"/>
      <c r="K38" s="1"/>
      <c r="L38" s="1"/>
      <c r="M38" s="1"/>
      <c r="N38" s="1"/>
      <c r="R38" s="1"/>
      <c r="S38" s="1"/>
      <c r="T38" s="1"/>
      <c r="U38" s="1"/>
    </row>
    <row r="39" spans="3:21" hidden="1">
      <c r="C39" s="1"/>
      <c r="D39" s="1"/>
      <c r="E39" s="1"/>
      <c r="F39" s="1"/>
      <c r="G39" s="1"/>
      <c r="H39" s="1"/>
      <c r="J39" s="1"/>
      <c r="K39" s="1"/>
      <c r="L39" s="1"/>
      <c r="Q39" s="1"/>
      <c r="R39" s="1"/>
      <c r="S39" s="1"/>
      <c r="T39" s="1"/>
      <c r="U39" s="1"/>
    </row>
    <row r="40" spans="3:21" hidden="1">
      <c r="C40" s="1"/>
      <c r="D40" s="1"/>
      <c r="E40" s="1"/>
      <c r="F40" s="1"/>
      <c r="G40" s="1"/>
      <c r="H40" s="1"/>
      <c r="K40" s="1"/>
      <c r="L40" s="1"/>
      <c r="M40" s="1"/>
      <c r="N40" s="1"/>
      <c r="Q40" s="1"/>
      <c r="R40" s="1"/>
      <c r="S40" s="1"/>
      <c r="T40" s="1"/>
      <c r="U40" s="1"/>
    </row>
    <row r="41" spans="3:21" hidden="1">
      <c r="C41" s="1"/>
      <c r="D41" s="1"/>
      <c r="E41" s="1"/>
      <c r="F41" s="1"/>
      <c r="G41" s="1"/>
      <c r="H41" s="1"/>
      <c r="K41" s="1"/>
      <c r="L41" s="1"/>
      <c r="M41" s="1"/>
      <c r="N41" s="1"/>
      <c r="Q41" s="1"/>
      <c r="R41" s="1"/>
      <c r="S41" s="1"/>
      <c r="T41" s="1"/>
      <c r="U41" s="1"/>
    </row>
    <row r="42" spans="3:21" hidden="1">
      <c r="C42" s="1"/>
      <c r="D42" s="1"/>
      <c r="E42" s="1"/>
      <c r="F42" s="1"/>
      <c r="G42" s="1"/>
      <c r="H42" s="1"/>
      <c r="J42" s="1"/>
      <c r="K42" s="1"/>
      <c r="L42" s="1"/>
      <c r="M42" s="1"/>
      <c r="N42" s="1"/>
      <c r="Q42" s="1"/>
      <c r="R42" s="1"/>
      <c r="S42" s="1"/>
      <c r="T42" s="1"/>
      <c r="U42" s="1"/>
    </row>
    <row r="43" spans="3:21" hidden="1">
      <c r="D43" s="1"/>
      <c r="E43" s="1"/>
      <c r="F43" s="1"/>
      <c r="G43" s="1"/>
      <c r="K43" s="1"/>
      <c r="L43" s="1"/>
      <c r="Q43" s="1"/>
      <c r="R43" s="1"/>
      <c r="S43" s="1"/>
    </row>
    <row r="44" spans="3:21" hidden="1">
      <c r="C44" s="1"/>
      <c r="D44" s="1"/>
      <c r="E44" s="1"/>
      <c r="F44" s="1"/>
      <c r="G44" s="1"/>
      <c r="H44" s="1"/>
      <c r="J44" s="1"/>
      <c r="K44" s="1"/>
      <c r="L44" s="1"/>
      <c r="M44" s="1"/>
      <c r="N44" s="1"/>
      <c r="Q44" s="1"/>
      <c r="R44" s="1"/>
      <c r="S44" s="1"/>
      <c r="T44" s="1"/>
      <c r="U44" s="1"/>
    </row>
    <row r="45" spans="3:21" hidden="1">
      <c r="C45" s="1"/>
      <c r="D45" s="1"/>
      <c r="E45" s="1"/>
      <c r="F45" s="1"/>
      <c r="G45" s="1"/>
      <c r="H45" s="1"/>
      <c r="J45" s="1"/>
      <c r="K45" s="1"/>
      <c r="L45" s="1"/>
      <c r="M45" s="1"/>
      <c r="N45" s="1"/>
      <c r="R45" s="1"/>
      <c r="S45" s="1"/>
      <c r="T45" s="1"/>
      <c r="U45" s="1"/>
    </row>
    <row r="46" spans="3:21" hidden="1">
      <c r="C46" s="1"/>
      <c r="D46" s="1"/>
      <c r="E46" s="1"/>
      <c r="F46" s="1"/>
      <c r="G46" s="1"/>
      <c r="H46" s="1"/>
      <c r="J46" s="1"/>
      <c r="M46" s="1"/>
      <c r="N46" s="1"/>
      <c r="S46" s="1"/>
      <c r="T46" s="1"/>
      <c r="U46" s="1"/>
    </row>
    <row r="47" spans="3:21" hidden="1">
      <c r="C47" s="1"/>
      <c r="D47" s="1"/>
      <c r="E47" s="1"/>
      <c r="F47" s="1"/>
      <c r="G47" s="1"/>
      <c r="H47" s="1"/>
      <c r="J47" s="1"/>
      <c r="L47" s="1"/>
      <c r="M47" s="1"/>
      <c r="N47" s="1"/>
      <c r="Q47" s="1"/>
      <c r="R47" s="1"/>
      <c r="S47" s="1"/>
      <c r="T47" s="1"/>
      <c r="U47" s="1"/>
    </row>
    <row r="48" spans="3:21" hidden="1">
      <c r="D48" s="1"/>
      <c r="E48" s="1"/>
      <c r="F48" s="1"/>
      <c r="G48" s="1"/>
      <c r="H48" s="1"/>
      <c r="J48" s="1"/>
      <c r="K48" s="1"/>
      <c r="L48" s="1"/>
      <c r="M48" s="1"/>
      <c r="N48" s="1"/>
      <c r="Q48" s="1"/>
      <c r="R48" s="1"/>
      <c r="S48" s="1"/>
      <c r="T48" s="1"/>
      <c r="U48" s="1"/>
    </row>
    <row r="49" spans="3:21" hidden="1">
      <c r="C49" s="1"/>
      <c r="D49" s="1"/>
      <c r="E49" s="1"/>
      <c r="F49" s="1"/>
      <c r="G49" s="1"/>
      <c r="H49" s="1"/>
      <c r="J49" s="1"/>
      <c r="L49" s="1"/>
      <c r="M49" s="1"/>
      <c r="N49" s="1"/>
      <c r="R49" s="1"/>
      <c r="S49" s="1"/>
      <c r="T49" s="1"/>
      <c r="U49" s="1"/>
    </row>
    <row r="50" spans="3:21" hidden="1">
      <c r="C50" s="1"/>
      <c r="D50" s="1"/>
      <c r="E50" s="1"/>
      <c r="F50" s="1"/>
      <c r="G50" s="1"/>
      <c r="H50" s="1"/>
      <c r="J50" s="1"/>
      <c r="K50" s="1"/>
      <c r="M50" s="1"/>
      <c r="N50" s="1"/>
      <c r="Q50" s="1"/>
      <c r="R50" s="1"/>
      <c r="S50" s="1"/>
      <c r="T50" s="1"/>
      <c r="U50" s="1"/>
    </row>
    <row r="51" spans="3:21" hidden="1">
      <c r="C51" s="1"/>
      <c r="D51" s="1"/>
      <c r="E51" s="1"/>
      <c r="F51" s="1"/>
      <c r="G51" s="1"/>
      <c r="H51" s="1"/>
      <c r="J51" s="1"/>
      <c r="K51" s="1"/>
      <c r="L51" s="1"/>
      <c r="M51" s="1"/>
      <c r="N51" s="1"/>
      <c r="Q51" s="1"/>
      <c r="R51" s="1"/>
      <c r="S51" s="1"/>
      <c r="T51" s="1"/>
      <c r="U51" s="1"/>
    </row>
    <row r="52" spans="3:21" hidden="1">
      <c r="C52" s="1"/>
      <c r="D52" s="1"/>
      <c r="E52" s="1"/>
      <c r="F52" s="1"/>
      <c r="G52" s="1"/>
      <c r="H52" s="1"/>
      <c r="K52" s="1"/>
      <c r="L52" s="1"/>
      <c r="M52" s="1"/>
      <c r="N52" s="1"/>
      <c r="Q52" s="1"/>
      <c r="R52" s="1"/>
      <c r="T52" s="1"/>
      <c r="U52" s="1"/>
    </row>
    <row r="53" spans="3:21" hidden="1">
      <c r="D53" s="1"/>
      <c r="E53" s="1"/>
      <c r="F53" s="1"/>
      <c r="G53" s="1"/>
      <c r="J53" s="1"/>
      <c r="K53" s="1"/>
      <c r="L53" s="1"/>
      <c r="M53" s="1"/>
      <c r="N53" s="1"/>
      <c r="Q53" s="1"/>
      <c r="R53" s="1"/>
      <c r="S53" s="1"/>
      <c r="T53" s="1"/>
      <c r="U53" s="1"/>
    </row>
    <row r="54" spans="3:21" hidden="1">
      <c r="C54" s="1"/>
      <c r="D54" s="1"/>
      <c r="E54" s="1"/>
      <c r="F54" s="1"/>
      <c r="G54" s="1"/>
      <c r="H54" s="1"/>
      <c r="J54" s="1"/>
      <c r="K54" s="1"/>
      <c r="L54" s="1"/>
      <c r="M54" s="1"/>
      <c r="N54" s="1"/>
      <c r="Q54" s="1"/>
      <c r="R54" s="1"/>
      <c r="S54" s="1"/>
      <c r="T54" s="1"/>
      <c r="U54" s="1"/>
    </row>
    <row r="55" spans="3:21" hidden="1">
      <c r="C55" s="1"/>
      <c r="D55" s="1"/>
      <c r="E55" s="1"/>
      <c r="F55" s="1"/>
      <c r="G55" s="1"/>
      <c r="J55" s="1"/>
      <c r="K55" s="1"/>
      <c r="L55" s="1"/>
      <c r="M55" s="1"/>
      <c r="N55" s="1"/>
      <c r="Q55" s="1"/>
      <c r="R55" s="1"/>
      <c r="S55" s="1"/>
      <c r="T55" s="1"/>
      <c r="U55" s="1"/>
    </row>
    <row r="56" spans="3:21" hidden="1">
      <c r="D56" s="1"/>
      <c r="E56" s="1"/>
      <c r="F56" s="1"/>
      <c r="G56" s="1"/>
      <c r="H56" s="1"/>
      <c r="K56" s="1"/>
      <c r="L56" s="1"/>
      <c r="M56" s="1"/>
      <c r="N56" s="1"/>
      <c r="Q56" s="1"/>
      <c r="R56" s="1"/>
      <c r="S56" s="1"/>
      <c r="T56" s="1"/>
      <c r="U56" s="1"/>
    </row>
    <row r="57" spans="3:21" hidden="1">
      <c r="D57" s="1"/>
      <c r="E57" s="1"/>
      <c r="F57" s="1"/>
      <c r="G57" s="1"/>
      <c r="H57" s="1"/>
      <c r="J57" s="1"/>
      <c r="K57" s="1"/>
      <c r="L57" s="1"/>
      <c r="M57" s="1"/>
      <c r="N57" s="1"/>
      <c r="Q57" s="1"/>
      <c r="R57" s="1"/>
      <c r="S57" s="1"/>
      <c r="T57" s="1"/>
      <c r="U57" s="1"/>
    </row>
    <row r="58" spans="3:21" hidden="1">
      <c r="D58" s="1"/>
      <c r="E58" s="1"/>
      <c r="F58" s="1"/>
      <c r="G58" s="1"/>
      <c r="H58" s="1"/>
      <c r="J58" s="1"/>
      <c r="K58" s="1"/>
      <c r="L58" s="1"/>
      <c r="M58" s="1"/>
      <c r="N58" s="1"/>
      <c r="Q58" s="1"/>
      <c r="R58" s="1"/>
      <c r="S58" s="1"/>
      <c r="T58" s="1"/>
      <c r="U58" s="1"/>
    </row>
    <row r="59" spans="3:21" hidden="1">
      <c r="C59" s="1"/>
      <c r="D59" s="1"/>
      <c r="E59" s="1"/>
      <c r="F59" s="1"/>
      <c r="G59" s="1"/>
      <c r="H59" s="1"/>
      <c r="J59" s="1"/>
      <c r="K59" s="1"/>
      <c r="S59" s="1"/>
    </row>
    <row r="60" spans="3:21" hidden="1">
      <c r="D60" s="1"/>
      <c r="E60" s="1"/>
      <c r="F60" s="1"/>
      <c r="G60" s="1"/>
      <c r="H60" s="1"/>
      <c r="J60" s="1"/>
      <c r="K60" s="1"/>
      <c r="L60" s="1"/>
      <c r="M60" s="1"/>
      <c r="N60" s="1"/>
      <c r="Q60" s="1"/>
      <c r="R60" s="1"/>
      <c r="T60" s="1"/>
      <c r="U60" s="1"/>
    </row>
    <row r="61" spans="3:21" hidden="1">
      <c r="C61" s="1"/>
      <c r="D61" s="1"/>
      <c r="E61" s="1"/>
      <c r="F61" s="1"/>
      <c r="G61" s="1"/>
      <c r="H61" s="1"/>
      <c r="J61" s="1"/>
      <c r="K61" s="1"/>
      <c r="L61" s="1"/>
      <c r="M61" s="1"/>
      <c r="N61" s="1"/>
      <c r="Q61" s="1"/>
      <c r="R61" s="1"/>
      <c r="S61" s="1"/>
      <c r="T61" s="1"/>
      <c r="U61" s="1"/>
    </row>
    <row r="62" spans="3:21" hidden="1">
      <c r="C62" s="1"/>
      <c r="D62" s="1"/>
      <c r="E62" s="1"/>
      <c r="F62" s="1"/>
      <c r="G62" s="1"/>
      <c r="H62" s="1"/>
      <c r="K62" s="1"/>
      <c r="L62" s="1"/>
      <c r="M62" s="1"/>
      <c r="N62" s="1"/>
      <c r="Q62" s="1"/>
      <c r="R62" s="1"/>
      <c r="S62" s="1"/>
      <c r="T62" s="1"/>
      <c r="U62" s="1"/>
    </row>
    <row r="63" spans="3:21" hidden="1">
      <c r="C63" s="1"/>
      <c r="D63" s="1"/>
      <c r="E63" s="1"/>
      <c r="F63" s="1"/>
      <c r="G63" s="1"/>
      <c r="H63" s="1"/>
      <c r="J63" s="1"/>
      <c r="K63" s="1"/>
      <c r="M63" s="1"/>
      <c r="N63" s="1"/>
      <c r="Q63" s="1"/>
      <c r="R63" s="1"/>
      <c r="T63" s="1"/>
      <c r="U63" s="1"/>
    </row>
    <row r="64" spans="3:21" hidden="1">
      <c r="C64" s="1"/>
      <c r="D64" s="1"/>
      <c r="E64" s="1"/>
      <c r="F64" s="1"/>
      <c r="G64" s="1"/>
      <c r="H64" s="1"/>
      <c r="K64" s="1"/>
      <c r="L64" s="1"/>
      <c r="M64" s="1"/>
      <c r="N64" s="1"/>
      <c r="Q64" s="1"/>
      <c r="R64" s="1"/>
      <c r="S64" s="1"/>
      <c r="T64" s="1"/>
      <c r="U64" s="1"/>
    </row>
    <row r="65" spans="3:21" hidden="1">
      <c r="C65" s="1"/>
      <c r="D65" s="1"/>
      <c r="E65" s="1"/>
      <c r="F65" s="1"/>
      <c r="G65" s="1"/>
      <c r="J65" s="1"/>
      <c r="K65" s="1"/>
      <c r="M65" s="1"/>
      <c r="N65" s="1"/>
      <c r="Q65" s="1"/>
      <c r="S65" s="1"/>
      <c r="T65" s="1"/>
      <c r="U65" s="1"/>
    </row>
    <row r="66" spans="3:21" hidden="1">
      <c r="C66" s="1"/>
      <c r="D66" s="1"/>
      <c r="E66" s="1"/>
      <c r="F66" s="1"/>
      <c r="G66" s="1"/>
      <c r="H66" s="1"/>
      <c r="J66" s="1"/>
      <c r="K66" s="1"/>
      <c r="L66" s="1"/>
      <c r="M66" s="1"/>
      <c r="N66" s="1"/>
      <c r="Q66" s="1"/>
      <c r="T66" s="1"/>
      <c r="U66" s="1"/>
    </row>
    <row r="67" spans="3:21" hidden="1">
      <c r="C67" s="1"/>
      <c r="D67" s="1"/>
      <c r="E67" s="1"/>
      <c r="F67" s="1"/>
      <c r="G67" s="1"/>
      <c r="H67" s="1"/>
      <c r="J67" s="1"/>
      <c r="L67" s="1"/>
      <c r="M67" s="1"/>
      <c r="N67" s="1"/>
      <c r="Q67" s="1"/>
      <c r="R67" s="1"/>
      <c r="S67" s="1"/>
    </row>
    <row r="68" spans="3:21" hidden="1">
      <c r="C68" s="1"/>
      <c r="D68" s="1"/>
      <c r="E68" s="1"/>
      <c r="F68" s="1"/>
      <c r="G68" s="1"/>
      <c r="H68" s="1"/>
      <c r="J68" s="1"/>
      <c r="K68" s="1"/>
      <c r="L68" s="1"/>
      <c r="M68" s="1"/>
      <c r="N68" s="1"/>
      <c r="R68" s="1"/>
      <c r="S68" s="1"/>
      <c r="T68" s="1"/>
      <c r="U68" s="1"/>
    </row>
    <row r="69" spans="3:21" hidden="1">
      <c r="C69" s="1"/>
      <c r="D69" s="1"/>
      <c r="E69" s="1"/>
      <c r="F69" s="1"/>
      <c r="G69" s="1"/>
      <c r="H69" s="1"/>
      <c r="J69" s="1"/>
      <c r="L69" s="1"/>
      <c r="M69" s="1"/>
      <c r="N69" s="1"/>
      <c r="Q69" s="1"/>
      <c r="R69" s="1"/>
      <c r="S69" s="1"/>
      <c r="T69" s="1"/>
      <c r="U69" s="1"/>
    </row>
    <row r="70" spans="3:21" hidden="1">
      <c r="D70" s="1"/>
      <c r="E70" s="1"/>
      <c r="F70" s="1"/>
      <c r="G70" s="1"/>
      <c r="H70" s="1"/>
      <c r="J70" s="1"/>
      <c r="K70" s="1"/>
      <c r="Q70" s="1"/>
      <c r="R70" s="1"/>
      <c r="S70" s="1"/>
      <c r="T70" s="1"/>
      <c r="U70" s="1"/>
    </row>
    <row r="71" spans="3:21" hidden="1">
      <c r="C71" s="1"/>
      <c r="D71" s="1"/>
      <c r="E71" s="1"/>
      <c r="F71" s="1"/>
      <c r="G71" s="1"/>
      <c r="H71" s="1"/>
      <c r="K71" s="1"/>
      <c r="L71" s="1"/>
      <c r="M71" s="1"/>
      <c r="N71" s="1"/>
      <c r="Q71" s="1"/>
      <c r="R71" s="1"/>
      <c r="T71" s="1"/>
      <c r="U71" s="1"/>
    </row>
    <row r="72" spans="3:21" hidden="1">
      <c r="C72" s="1"/>
      <c r="E72" s="1"/>
      <c r="F72" s="1"/>
      <c r="G72" s="1"/>
      <c r="J72" s="1"/>
      <c r="M72" s="1"/>
      <c r="N72" s="1"/>
      <c r="Q72" s="1"/>
      <c r="R72" s="1"/>
      <c r="S72" s="1"/>
      <c r="T72" s="1"/>
      <c r="U72" s="1"/>
    </row>
    <row r="73" spans="3:21" hidden="1">
      <c r="C73" s="1"/>
      <c r="D73" s="1"/>
      <c r="F73" s="1"/>
      <c r="G73" s="1"/>
      <c r="H73" s="1"/>
      <c r="J73" s="1"/>
      <c r="L73" s="1"/>
      <c r="M73" s="1"/>
      <c r="N73" s="1"/>
      <c r="Q73" s="1"/>
      <c r="R73" s="1"/>
      <c r="S73" s="1"/>
      <c r="T73" s="1"/>
      <c r="U73" s="1"/>
    </row>
    <row r="74" spans="3:21" hidden="1">
      <c r="D74" s="1"/>
      <c r="E74" s="1"/>
      <c r="F74" s="1"/>
      <c r="G74" s="1"/>
      <c r="H74" s="1"/>
      <c r="K74" s="1"/>
      <c r="L74" s="1"/>
      <c r="M74" s="1"/>
      <c r="N74" s="1"/>
      <c r="Q74" s="1"/>
      <c r="R74" s="1"/>
      <c r="S74" s="1"/>
      <c r="T74" s="1"/>
      <c r="U74" s="1"/>
    </row>
    <row r="75" spans="3:21" hidden="1">
      <c r="C75" s="1"/>
      <c r="D75" s="1"/>
      <c r="E75" s="1"/>
      <c r="F75" s="1"/>
      <c r="G75" s="1"/>
      <c r="H75" s="1"/>
      <c r="J75" s="1"/>
      <c r="K75" s="1"/>
      <c r="L75" s="1"/>
      <c r="M75" s="1"/>
      <c r="N75" s="1"/>
      <c r="R75" s="1"/>
      <c r="S75" s="1"/>
      <c r="T75" s="1"/>
      <c r="U75" s="1"/>
    </row>
    <row r="76" spans="3:21" hidden="1">
      <c r="C76" s="1"/>
      <c r="D76" s="1"/>
      <c r="E76" s="1"/>
      <c r="F76" s="1"/>
      <c r="G76" s="1"/>
      <c r="H76" s="1"/>
      <c r="J76" s="1"/>
      <c r="K76" s="1"/>
      <c r="L76" s="1"/>
      <c r="M76" s="1"/>
      <c r="N76" s="1"/>
      <c r="Q76" s="1"/>
      <c r="S76" s="1"/>
      <c r="T76" s="1"/>
      <c r="U76" s="1"/>
    </row>
    <row r="77" spans="3:21" hidden="1">
      <c r="C77" s="1"/>
      <c r="D77" s="1"/>
      <c r="E77" s="1"/>
      <c r="F77" s="1"/>
      <c r="G77" s="1"/>
      <c r="H77" s="1"/>
      <c r="J77" s="1"/>
      <c r="K77" s="1"/>
      <c r="M77" s="1"/>
      <c r="N77" s="1"/>
      <c r="Q77" s="1"/>
      <c r="R77" s="1"/>
      <c r="S77" s="1"/>
      <c r="T77" s="1"/>
      <c r="U77" s="1"/>
    </row>
    <row r="78" spans="3:21" hidden="1">
      <c r="C78" s="1"/>
      <c r="D78" s="1"/>
      <c r="E78" s="1"/>
      <c r="F78" s="1"/>
      <c r="G78" s="1"/>
      <c r="H78" s="1"/>
      <c r="J78" s="1"/>
      <c r="K78" s="1"/>
      <c r="L78" s="1"/>
      <c r="M78" s="1"/>
      <c r="N78" s="1"/>
      <c r="R78" s="1"/>
      <c r="S78" s="1"/>
      <c r="T78" s="1"/>
      <c r="U78" s="1"/>
    </row>
    <row r="79" spans="3:21" hidden="1">
      <c r="C79" s="1"/>
      <c r="D79" s="1"/>
      <c r="E79" s="1"/>
      <c r="F79" s="1"/>
      <c r="G79" s="1"/>
      <c r="H79" s="1"/>
      <c r="J79" s="1"/>
      <c r="L79" s="1"/>
      <c r="M79" s="1"/>
      <c r="N79" s="1"/>
      <c r="Q79" s="1"/>
      <c r="R79" s="1"/>
      <c r="S79" s="1"/>
      <c r="T79" s="1"/>
      <c r="U79" s="1"/>
    </row>
    <row r="80" spans="3:21" hidden="1">
      <c r="C80" s="1"/>
      <c r="D80" s="1"/>
      <c r="E80" s="1"/>
      <c r="F80" s="1"/>
      <c r="G80" s="1"/>
      <c r="H80" s="1"/>
      <c r="J80" s="1"/>
      <c r="K80" s="1"/>
      <c r="L80" s="1"/>
      <c r="Q80" s="1"/>
      <c r="R80" s="1"/>
      <c r="S80" s="1"/>
      <c r="T80" s="1"/>
      <c r="U80" s="1"/>
    </row>
    <row r="81" spans="3:21" hidden="1">
      <c r="C81" s="1"/>
      <c r="D81" s="1"/>
      <c r="E81" s="1"/>
      <c r="F81" s="1"/>
      <c r="G81" s="1"/>
      <c r="H81" s="1"/>
      <c r="J81" s="1"/>
      <c r="K81" s="1"/>
      <c r="L81" s="1"/>
      <c r="M81" s="1"/>
      <c r="N81" s="1"/>
      <c r="Q81" s="1"/>
      <c r="R81" s="1"/>
      <c r="S81" s="1"/>
      <c r="T81" s="1"/>
      <c r="U81" s="1"/>
    </row>
    <row r="82" spans="3:21" hidden="1">
      <c r="D82" s="1"/>
      <c r="E82" s="1"/>
      <c r="F82" s="1"/>
      <c r="G82" s="1"/>
      <c r="J82" s="1"/>
      <c r="K82" s="1"/>
      <c r="L82" s="1"/>
      <c r="M82" s="1"/>
      <c r="N82" s="1"/>
      <c r="Q82" s="1"/>
      <c r="R82" s="1"/>
      <c r="S82" s="1"/>
      <c r="T82" s="1"/>
      <c r="U82" s="1"/>
    </row>
    <row r="83" spans="3:21" hidden="1">
      <c r="C83" s="1"/>
      <c r="D83" s="1"/>
      <c r="E83" s="1"/>
      <c r="F83" s="1"/>
      <c r="G83" s="1"/>
      <c r="H83" s="1"/>
      <c r="J83" s="1"/>
      <c r="K83" s="1"/>
      <c r="Q83" s="1"/>
      <c r="R83" s="1"/>
      <c r="S83" s="1"/>
      <c r="T83" s="1"/>
      <c r="U83" s="1"/>
    </row>
    <row r="84" spans="3:21" hidden="1">
      <c r="C84" s="1"/>
      <c r="D84" s="1"/>
      <c r="E84" s="1"/>
      <c r="F84" s="1"/>
      <c r="G84" s="1"/>
      <c r="H84" s="1"/>
      <c r="J84" s="1"/>
      <c r="K84" s="1"/>
      <c r="L84" s="1"/>
      <c r="M84" s="1"/>
      <c r="N84" s="1"/>
      <c r="Q84" s="1"/>
      <c r="R84" s="1"/>
      <c r="S84" s="1"/>
      <c r="T84" s="1"/>
      <c r="U84" s="1"/>
    </row>
    <row r="85" spans="3:21" hidden="1">
      <c r="C85" s="1"/>
      <c r="D85" s="1"/>
      <c r="E85" s="1"/>
      <c r="F85" s="1"/>
      <c r="G85" s="1"/>
      <c r="H85" s="1"/>
      <c r="J85" s="1"/>
      <c r="K85" s="1"/>
      <c r="L85" s="1"/>
      <c r="M85" s="1"/>
      <c r="N85" s="1"/>
      <c r="Q85" s="1"/>
      <c r="R85" s="1"/>
      <c r="S85" s="1"/>
      <c r="T85" s="1"/>
      <c r="U85" s="1"/>
    </row>
    <row r="86" spans="3:21" hidden="1">
      <c r="C86" s="1"/>
      <c r="D86" s="1"/>
      <c r="E86" s="1"/>
      <c r="F86" s="1"/>
      <c r="G86" s="1"/>
      <c r="H86" s="1"/>
      <c r="J86" s="1"/>
      <c r="K86" s="1"/>
      <c r="L86" s="1"/>
      <c r="M86" s="1"/>
      <c r="N86" s="1"/>
      <c r="Q86" s="1"/>
      <c r="R86" s="1"/>
      <c r="S86" s="1"/>
      <c r="T86" s="1"/>
      <c r="U86" s="1"/>
    </row>
    <row r="87" spans="3:21" hidden="1">
      <c r="C87" s="1"/>
      <c r="D87" s="1"/>
      <c r="E87" s="1"/>
      <c r="F87" s="1"/>
      <c r="G87" s="1"/>
      <c r="H87" s="1"/>
      <c r="J87" s="1"/>
      <c r="K87" s="1"/>
      <c r="L87" s="1"/>
      <c r="M87" s="1"/>
      <c r="N87" s="1"/>
      <c r="S87" s="1"/>
      <c r="T87" s="1"/>
      <c r="U87" s="1"/>
    </row>
    <row r="88" spans="3:21" hidden="1">
      <c r="C88" s="1"/>
      <c r="D88" s="1"/>
      <c r="E88" s="1"/>
      <c r="F88" s="1"/>
      <c r="G88" s="1"/>
      <c r="H88" s="1"/>
      <c r="J88" s="1"/>
      <c r="K88" s="1"/>
      <c r="L88" s="1"/>
      <c r="M88" s="1"/>
      <c r="N88" s="1"/>
      <c r="Q88" s="1"/>
      <c r="R88" s="1"/>
      <c r="S88" s="1"/>
      <c r="T88" s="1"/>
      <c r="U88" s="1"/>
    </row>
    <row r="89" spans="3:21" hidden="1">
      <c r="C89" s="1"/>
      <c r="D89" s="1"/>
      <c r="E89" s="1"/>
      <c r="F89" s="1"/>
      <c r="G89" s="1"/>
      <c r="H89" s="1"/>
      <c r="J89" s="1"/>
      <c r="K89" s="1"/>
      <c r="L89" s="1"/>
      <c r="M89" s="1"/>
      <c r="N89" s="1"/>
      <c r="Q89" s="1"/>
      <c r="R89" s="1"/>
      <c r="S89" s="1"/>
      <c r="T89" s="1"/>
      <c r="U89" s="1"/>
    </row>
    <row r="90" spans="3:21" hidden="1">
      <c r="C90" s="1"/>
      <c r="D90" s="1"/>
      <c r="E90" s="1"/>
      <c r="F90" s="1"/>
      <c r="G90" s="1"/>
      <c r="H90" s="1"/>
      <c r="J90" s="1"/>
      <c r="Q90" s="1"/>
      <c r="T90" s="1"/>
      <c r="U90" s="1"/>
    </row>
    <row r="91" spans="3:21" hidden="1">
      <c r="D91" s="1"/>
      <c r="E91" s="1"/>
      <c r="F91" s="1"/>
      <c r="G91" s="1"/>
      <c r="H91" s="1"/>
      <c r="J91" s="1"/>
      <c r="K91" s="1"/>
      <c r="L91" s="1"/>
      <c r="M91" s="1"/>
      <c r="N91" s="1"/>
      <c r="Q91" s="1"/>
      <c r="R91" s="1"/>
      <c r="S91" s="1"/>
      <c r="T91" s="1"/>
      <c r="U91" s="1"/>
    </row>
    <row r="92" spans="3:21" hidden="1">
      <c r="C92" s="1"/>
      <c r="D92" s="1"/>
      <c r="E92" s="1"/>
      <c r="F92" s="1"/>
      <c r="G92" s="1"/>
      <c r="H92" s="1"/>
      <c r="J92" s="1"/>
      <c r="K92" s="1"/>
      <c r="L92" s="1"/>
      <c r="M92" s="1"/>
      <c r="N92" s="1"/>
      <c r="Q92" s="1"/>
      <c r="R92" s="1"/>
      <c r="S92" s="1"/>
      <c r="T92" s="1"/>
      <c r="U92" s="1"/>
    </row>
    <row r="93" spans="3:21" hidden="1">
      <c r="C93" s="1"/>
      <c r="D93" s="1"/>
      <c r="E93" s="1"/>
      <c r="F93" s="1"/>
      <c r="G93" s="1"/>
      <c r="H93" s="1"/>
      <c r="J93" s="1"/>
      <c r="K93" s="1"/>
      <c r="L93" s="1"/>
      <c r="R93" s="1"/>
      <c r="S93" s="1"/>
    </row>
    <row r="94" spans="3:21" hidden="1">
      <c r="C94" s="1"/>
      <c r="D94" s="1"/>
      <c r="E94" s="1"/>
      <c r="F94" s="1"/>
      <c r="G94" s="1"/>
      <c r="J94" s="1"/>
      <c r="K94" s="1"/>
      <c r="L94" s="1"/>
      <c r="M94" s="1"/>
      <c r="N94" s="1"/>
      <c r="Q94" s="1"/>
      <c r="R94" s="1"/>
      <c r="S94" s="1"/>
      <c r="T94" s="1"/>
      <c r="U94" s="1"/>
    </row>
    <row r="95" spans="3:21" hidden="1">
      <c r="C95" s="1"/>
      <c r="D95" s="1"/>
      <c r="E95" s="1"/>
      <c r="F95" s="1"/>
      <c r="G95" s="1"/>
      <c r="H95" s="1"/>
      <c r="J95" s="1"/>
      <c r="K95" s="1"/>
      <c r="L95" s="1"/>
      <c r="M95" s="1"/>
      <c r="N95" s="1"/>
      <c r="Q95" s="1"/>
      <c r="R95" s="1"/>
      <c r="S95" s="1"/>
    </row>
    <row r="96" spans="3:21" hidden="1">
      <c r="D96" s="1"/>
      <c r="E96" s="1"/>
      <c r="F96" s="1"/>
      <c r="G96" s="1"/>
      <c r="H96" s="1"/>
      <c r="J96" s="1"/>
      <c r="K96" s="1"/>
      <c r="L96" s="1"/>
      <c r="M96" s="1"/>
      <c r="N96" s="1"/>
      <c r="Q96" s="1"/>
      <c r="R96" s="1"/>
      <c r="S96" s="1"/>
      <c r="T96" s="1"/>
      <c r="U96" s="1"/>
    </row>
    <row r="97" spans="1:41">
      <c r="C97" s="1"/>
      <c r="D97" s="1"/>
      <c r="E97" s="1"/>
      <c r="F97" s="1"/>
      <c r="G97" s="1"/>
      <c r="H97" s="1"/>
      <c r="J97" s="1"/>
      <c r="K97" s="1"/>
      <c r="L97" s="1"/>
      <c r="M97" s="1"/>
      <c r="N97" s="1"/>
      <c r="Q97" s="1"/>
      <c r="R97" s="1"/>
      <c r="S97" s="1"/>
      <c r="T97" s="1"/>
      <c r="U97" s="1"/>
    </row>
    <row r="98" spans="1:41">
      <c r="C98" s="1"/>
      <c r="D98" s="1"/>
      <c r="E98" s="1"/>
      <c r="F98" s="1"/>
      <c r="G98" s="1"/>
      <c r="H98" s="1"/>
      <c r="J98" s="1"/>
      <c r="K98" s="1"/>
      <c r="L98" s="1"/>
      <c r="M98" s="1"/>
      <c r="N98" s="1"/>
      <c r="Q98" s="1"/>
      <c r="R98" s="1"/>
      <c r="S98" s="1"/>
    </row>
    <row r="99" spans="1:41">
      <c r="D99" s="1"/>
      <c r="E99" s="1"/>
      <c r="F99" s="1"/>
      <c r="G99" s="1"/>
      <c r="J99" s="1"/>
      <c r="K99" s="1"/>
      <c r="L99" s="1"/>
      <c r="M99" s="1"/>
      <c r="N99" s="1"/>
      <c r="Q99" s="1"/>
      <c r="R99" s="1"/>
      <c r="S99" s="1"/>
      <c r="T99" s="1"/>
      <c r="U99" s="1"/>
    </row>
    <row r="100" spans="1:41">
      <c r="C100" s="1"/>
      <c r="D100" s="1"/>
      <c r="E100" s="1"/>
      <c r="F100" s="1"/>
      <c r="G100" s="1"/>
      <c r="H100" s="1"/>
      <c r="J100" s="1"/>
      <c r="K100" s="1"/>
      <c r="L100" s="1"/>
      <c r="M100" s="1"/>
      <c r="N100" s="1"/>
      <c r="R100" s="1"/>
      <c r="S100" s="1"/>
    </row>
    <row r="101" spans="1:41">
      <c r="C101" s="1"/>
      <c r="D101" s="1"/>
      <c r="E101" s="1"/>
      <c r="F101" s="1"/>
      <c r="G101" s="1"/>
      <c r="H101" s="1"/>
      <c r="J101" s="1"/>
      <c r="K101" s="1"/>
      <c r="L101" s="1"/>
      <c r="M101" s="1"/>
      <c r="N101" s="1"/>
      <c r="Q101" s="1"/>
      <c r="R101" s="1"/>
      <c r="S101" s="1"/>
      <c r="T101" s="1"/>
      <c r="U101" s="1"/>
    </row>
    <row r="102" spans="1:41">
      <c r="C102" s="1"/>
      <c r="D102" s="1"/>
      <c r="E102" s="1"/>
      <c r="F102" s="1"/>
      <c r="G102" s="1"/>
      <c r="H102" s="1"/>
      <c r="J102" s="1"/>
      <c r="K102" s="1"/>
      <c r="L102" s="1"/>
      <c r="M102" s="1"/>
      <c r="N102" s="1"/>
      <c r="Q102" s="1"/>
      <c r="R102" s="1"/>
      <c r="S102" s="1"/>
      <c r="T102" s="1"/>
      <c r="U102" s="1"/>
    </row>
    <row r="103" spans="1:41">
      <c r="D103" s="1"/>
      <c r="E103" s="1"/>
      <c r="F103" s="1"/>
      <c r="G103" s="1"/>
      <c r="H103" s="1"/>
    </row>
    <row r="104" spans="1:41">
      <c r="D104" s="1"/>
      <c r="E104" s="1"/>
      <c r="F104" s="1"/>
      <c r="G104" s="1"/>
      <c r="H104" s="1"/>
    </row>
    <row r="105" spans="1:41" ht="16" thickBot="1">
      <c r="A105" t="s">
        <v>25</v>
      </c>
      <c r="B105" t="s">
        <v>0</v>
      </c>
      <c r="C105" t="s">
        <v>1</v>
      </c>
      <c r="D105" s="1" t="s">
        <v>2</v>
      </c>
      <c r="E105" s="1" t="s">
        <v>3</v>
      </c>
      <c r="F105" s="1" t="s">
        <v>4</v>
      </c>
      <c r="G105" s="1"/>
      <c r="H105" s="2" t="s">
        <v>25</v>
      </c>
      <c r="I105" s="3" t="s">
        <v>0</v>
      </c>
      <c r="J105" s="3" t="s">
        <v>1</v>
      </c>
      <c r="K105" s="19" t="s">
        <v>2</v>
      </c>
      <c r="L105" s="19" t="s">
        <v>3</v>
      </c>
      <c r="M105" s="20" t="s">
        <v>4</v>
      </c>
      <c r="O105" s="2" t="s">
        <v>25</v>
      </c>
      <c r="P105" s="3" t="s">
        <v>0</v>
      </c>
      <c r="Q105" s="3" t="s">
        <v>1</v>
      </c>
      <c r="R105" s="19" t="s">
        <v>2</v>
      </c>
      <c r="S105" s="19" t="s">
        <v>3</v>
      </c>
      <c r="T105" s="20" t="s">
        <v>4</v>
      </c>
      <c r="V105" s="22" t="s">
        <v>25</v>
      </c>
      <c r="W105" s="23" t="s">
        <v>0</v>
      </c>
      <c r="X105" s="23" t="s">
        <v>1</v>
      </c>
      <c r="Y105" s="24" t="s">
        <v>2</v>
      </c>
      <c r="Z105" s="24" t="s">
        <v>3</v>
      </c>
      <c r="AA105" s="25" t="s">
        <v>4</v>
      </c>
      <c r="AC105" s="22" t="s">
        <v>25</v>
      </c>
      <c r="AD105" s="23" t="s">
        <v>0</v>
      </c>
      <c r="AE105" s="23" t="s">
        <v>1</v>
      </c>
      <c r="AF105" s="24" t="s">
        <v>2</v>
      </c>
      <c r="AG105" s="24" t="s">
        <v>3</v>
      </c>
      <c r="AH105" s="25" t="s">
        <v>4</v>
      </c>
      <c r="AJ105" s="22" t="s">
        <v>25</v>
      </c>
      <c r="AK105" s="23" t="s">
        <v>0</v>
      </c>
      <c r="AL105" s="23" t="s">
        <v>1</v>
      </c>
      <c r="AM105" s="24" t="s">
        <v>2</v>
      </c>
      <c r="AN105" s="24" t="s">
        <v>3</v>
      </c>
      <c r="AO105" s="25" t="s">
        <v>4</v>
      </c>
    </row>
    <row r="106" spans="1:41" ht="16" thickTop="1">
      <c r="A106" t="s">
        <v>8</v>
      </c>
      <c r="B106">
        <f>AVERAGE(Encrypt16x16[ECB])</f>
        <v>118.02414999999999</v>
      </c>
      <c r="C106">
        <f>AVERAGE(Encrypt16x16[CBC])</f>
        <v>0.11753345</v>
      </c>
      <c r="D106">
        <f>AVERAGE(Encrypt16x16[OFB])</f>
        <v>0.11722784999999999</v>
      </c>
      <c r="E106">
        <f>AVERAGE(Encrypt16x16[CFB])</f>
        <v>0.11728685000000001</v>
      </c>
      <c r="F106">
        <f>AVERAGE(Encrypt16x16[CTR])</f>
        <v>0.11862750000000002</v>
      </c>
      <c r="H106" s="5" t="s">
        <v>8</v>
      </c>
      <c r="I106" s="6">
        <f>AVERAGE(Encrypt24x16[ECB])</f>
        <v>132.73675</v>
      </c>
      <c r="J106" s="6">
        <f>AVERAGE(Encrypt24x16[CBC])</f>
        <v>0.13104739999999998</v>
      </c>
      <c r="K106" s="6">
        <f>AVERAGE(Encrypt24x16[OFB])</f>
        <v>0.12662450000000003</v>
      </c>
      <c r="L106" s="6">
        <f>AVERAGE(Encrypt24x16[CFB])</f>
        <v>0.12780955000000002</v>
      </c>
      <c r="M106" s="6">
        <f>AVERAGE(Encrypt24x16[CTR])</f>
        <v>0.12831509999999996</v>
      </c>
      <c r="O106" s="5" t="s">
        <v>8</v>
      </c>
      <c r="P106" s="6">
        <f>AVERAGE(Encrypt32x16[ECB])</f>
        <v>125.23495</v>
      </c>
      <c r="Q106" s="6">
        <f>AVERAGE(Encrypt32x16[CBC])</f>
        <v>0.12669685</v>
      </c>
      <c r="R106" s="6">
        <f>AVERAGE(Encrypt32x16[OFB])</f>
        <v>0.13009529999999997</v>
      </c>
      <c r="S106" s="6">
        <f>AVERAGE(Encrypt32x16[CFB])</f>
        <v>0.12558615000000001</v>
      </c>
      <c r="T106" s="6">
        <f>AVERAGE(Encrypt32x16[CTR])</f>
        <v>0.12372590000000001</v>
      </c>
      <c r="V106" s="5" t="s">
        <v>8</v>
      </c>
      <c r="W106" s="6">
        <f>AVERAGE(Decrypt16x16[ECB])</f>
        <v>64.187950000000001</v>
      </c>
      <c r="X106" s="6">
        <f>AVERAGE(Decrypt16x16[CBC])</f>
        <v>62.999449999999989</v>
      </c>
      <c r="Y106" s="6">
        <f>AVERAGE(Decrypt16x16[OFB])</f>
        <v>141.94789999999998</v>
      </c>
      <c r="Z106" s="6">
        <f>AVERAGE(Decrypt16x16[CFB])</f>
        <v>192.20710000000003</v>
      </c>
      <c r="AA106" s="7">
        <f>AVERAGE(Decrypt16x16[CTR])</f>
        <v>151.99019999999999</v>
      </c>
      <c r="AC106" s="5" t="s">
        <v>8</v>
      </c>
      <c r="AD106" s="6">
        <f>AVERAGE(Decrypt24x16[ECB])</f>
        <v>68.641649999999998</v>
      </c>
      <c r="AE106" s="6">
        <f>AVERAGE(Decrypt24x16[CBC])</f>
        <v>66.139150000000001</v>
      </c>
      <c r="AF106" s="6">
        <f>AVERAGE(Decrypt24x16[OFB])</f>
        <v>141.06134999999998</v>
      </c>
      <c r="AG106" s="6">
        <f>AVERAGE(Decrypt24x16[CFB])</f>
        <v>154.62329999999997</v>
      </c>
      <c r="AH106" s="7">
        <f>AVERAGE(Decrypt24x16[CTR])</f>
        <v>141.89375000000001</v>
      </c>
      <c r="AJ106" s="5" t="s">
        <v>8</v>
      </c>
      <c r="AK106" s="6">
        <f>AVERAGE(Decrypt32x16[ECB])</f>
        <v>69.182050000000004</v>
      </c>
      <c r="AL106" s="6">
        <f>AVERAGE(Decrypt32x16[CBC])</f>
        <v>70.705000000000013</v>
      </c>
      <c r="AM106" s="6">
        <f>AVERAGE(Decrypt32x16[OFB])</f>
        <v>148.89534999999998</v>
      </c>
      <c r="AN106" s="6">
        <f>AVERAGE(Decrypt32x16[CFB])</f>
        <v>154.74235000000002</v>
      </c>
      <c r="AO106" s="7">
        <f>AVERAGE(Decrypt32x16[CTR])</f>
        <v>147.47514999999996</v>
      </c>
    </row>
    <row r="107" spans="1:41">
      <c r="A107" t="s">
        <v>10</v>
      </c>
      <c r="B107">
        <f>MIN(Encrypt16x16[ECB])</f>
        <v>114.68600000000001</v>
      </c>
      <c r="C107">
        <f>MIN(Encrypt16x16[CBC])</f>
        <v>0.115275</v>
      </c>
      <c r="D107">
        <f>MIN(Encrypt16x16[OFB])</f>
        <v>0.11550299999999999</v>
      </c>
      <c r="E107">
        <f>MIN(Encrypt16x16[CFB])</f>
        <v>0.115413</v>
      </c>
      <c r="F107">
        <f>MIN(Encrypt16x16[CTR])</f>
        <v>0.115039</v>
      </c>
      <c r="H107" s="8" t="s">
        <v>10</v>
      </c>
      <c r="I107" s="9">
        <f>MIN(Encrypt24x16[ECB])</f>
        <v>117.348</v>
      </c>
      <c r="J107" s="9">
        <f>MIN(Encrypt24x16[CBC])</f>
        <v>0.11752899999999999</v>
      </c>
      <c r="K107" s="9">
        <f>MIN(Encrypt24x16[OFB])</f>
        <v>0.11878</v>
      </c>
      <c r="L107" s="9">
        <f>MIN(Encrypt24x16[CFB])</f>
        <v>0.11813800000000001</v>
      </c>
      <c r="M107" s="9">
        <f>MIN(Encrypt24x16[CTR])</f>
        <v>0.11709899999999999</v>
      </c>
      <c r="O107" s="8" t="s">
        <v>10</v>
      </c>
      <c r="P107" s="9">
        <f>MIN(Encrypt32x16[ECB])</f>
        <v>119.117</v>
      </c>
      <c r="Q107" s="9">
        <f>MIN(Encrypt32x16[CBC])</f>
        <v>0.118923</v>
      </c>
      <c r="R107" s="9">
        <f>MIN(Encrypt32x16[OFB])</f>
        <v>0.119446</v>
      </c>
      <c r="S107" s="9">
        <f>MIN(Encrypt32x16[CFB])</f>
        <v>0.118738</v>
      </c>
      <c r="T107" s="9">
        <f>MIN(Encrypt32x16[CTR])</f>
        <v>0.118807</v>
      </c>
      <c r="V107" s="8" t="s">
        <v>10</v>
      </c>
      <c r="W107" s="9">
        <f>MIN(Decrypt16x16[ECB])</f>
        <v>62.780999999999999</v>
      </c>
      <c r="X107" s="9">
        <f>MIN(Decrypt16x16[CBC])</f>
        <v>62.238</v>
      </c>
      <c r="Y107" s="9">
        <f>MIN(Decrypt16x16[OFB])</f>
        <v>140.482</v>
      </c>
      <c r="Z107" s="9">
        <f>MIN(Decrypt16x16[CFB])</f>
        <v>184.53899999999999</v>
      </c>
      <c r="AA107" s="10">
        <f>MIN(Decrypt16x16[CTR])</f>
        <v>146.33199999999999</v>
      </c>
      <c r="AC107" s="8" t="s">
        <v>10</v>
      </c>
      <c r="AD107" s="9">
        <f>MIN(Decrypt24x16[ECB])</f>
        <v>64.001999999999995</v>
      </c>
      <c r="AE107" s="9">
        <f>MIN(Decrypt24x16[CBC])</f>
        <v>65.087999999999994</v>
      </c>
      <c r="AF107" s="9">
        <f>MIN(Decrypt24x16[OFB])</f>
        <v>137.93</v>
      </c>
      <c r="AG107" s="9">
        <f>MIN(Decrypt24x16[CFB])</f>
        <v>146.31299999999999</v>
      </c>
      <c r="AH107" s="10">
        <f>MIN(Decrypt24x16[CTR])</f>
        <v>139.78399999999999</v>
      </c>
      <c r="AJ107" s="8" t="s">
        <v>10</v>
      </c>
      <c r="AK107" s="9">
        <f>MIN(Decrypt32x16[ECB])</f>
        <v>64.900000000000006</v>
      </c>
      <c r="AL107" s="9">
        <f>MIN(Decrypt32x16[CBC])</f>
        <v>65.385000000000005</v>
      </c>
      <c r="AM107" s="9">
        <f>MIN(Decrypt32x16[OFB])</f>
        <v>139.68199999999999</v>
      </c>
      <c r="AN107" s="9">
        <f>MIN(Decrypt32x16[CFB])</f>
        <v>148.792</v>
      </c>
      <c r="AO107" s="10">
        <f>MIN(Decrypt32x16[CTR])</f>
        <v>141.797</v>
      </c>
    </row>
    <row r="108" spans="1:41">
      <c r="A108" t="s">
        <v>11</v>
      </c>
      <c r="B108">
        <f>MAX(Encrypt16x16[ECB])</f>
        <v>141.81200000000001</v>
      </c>
      <c r="C108">
        <f>MAX(Encrypt16x16[CBC])</f>
        <v>0.13567799999999999</v>
      </c>
      <c r="D108">
        <f>MAX(Encrypt16x16[OFB])</f>
        <v>0.124866</v>
      </c>
      <c r="E108">
        <f>MAX(Encrypt16x16[CFB])</f>
        <v>0.134327</v>
      </c>
      <c r="F108">
        <f>MAX(Encrypt16x16[CTR])</f>
        <v>0.14241999999999999</v>
      </c>
      <c r="H108" s="5" t="s">
        <v>11</v>
      </c>
      <c r="I108" s="6">
        <f>MAX(Encrypt24x16[ECB])</f>
        <v>170.76300000000001</v>
      </c>
      <c r="J108" s="6">
        <f>MAX(Encrypt24x16[CBC])</f>
        <v>0.173041</v>
      </c>
      <c r="K108" s="6">
        <f>MAX(Encrypt24x16[OFB])</f>
        <v>0.16004399999999999</v>
      </c>
      <c r="L108" s="6">
        <f>MAX(Encrypt24x16[CFB])</f>
        <v>0.14277999999999999</v>
      </c>
      <c r="M108" s="6">
        <f>MAX(Encrypt24x16[CTR])</f>
        <v>0.155164</v>
      </c>
      <c r="O108" s="5" t="s">
        <v>11</v>
      </c>
      <c r="P108" s="6">
        <f>MAX(Encrypt32x16[ECB])</f>
        <v>139.755</v>
      </c>
      <c r="Q108" s="6">
        <f>MAX(Encrypt32x16[CBC])</f>
        <v>0.15095700000000001</v>
      </c>
      <c r="R108" s="6">
        <f>MAX(Encrypt32x16[OFB])</f>
        <v>0.153618</v>
      </c>
      <c r="S108" s="6">
        <f>MAX(Encrypt32x16[CFB])</f>
        <v>0.137826</v>
      </c>
      <c r="T108" s="6">
        <f>MAX(Encrypt32x16[CTR])</f>
        <v>0.13514100000000001</v>
      </c>
      <c r="V108" s="5" t="s">
        <v>11</v>
      </c>
      <c r="W108" s="6">
        <f>MAX(Decrypt16x16[ECB])</f>
        <v>82.816000000000003</v>
      </c>
      <c r="X108" s="6">
        <f>MAX(Decrypt16x16[CBC])</f>
        <v>64.606999999999999</v>
      </c>
      <c r="Y108" s="6">
        <f>MAX(Decrypt16x16[OFB])</f>
        <v>145.13499999999999</v>
      </c>
      <c r="Z108" s="6">
        <f>MAX(Decrypt16x16[CFB])</f>
        <v>218.923</v>
      </c>
      <c r="AA108" s="7">
        <f>MAX(Decrypt16x16[CTR])</f>
        <v>189.25800000000001</v>
      </c>
      <c r="AC108" s="5" t="s">
        <v>11</v>
      </c>
      <c r="AD108" s="6">
        <f>MAX(Decrypt24x16[ECB])</f>
        <v>85.427000000000007</v>
      </c>
      <c r="AE108" s="6">
        <f>MAX(Decrypt24x16[CBC])</f>
        <v>70.358999999999995</v>
      </c>
      <c r="AF108" s="6">
        <f>MAX(Decrypt24x16[OFB])</f>
        <v>157.56700000000001</v>
      </c>
      <c r="AG108" s="6">
        <f>MAX(Decrypt24x16[CFB])</f>
        <v>220.245</v>
      </c>
      <c r="AH108" s="7">
        <f>MAX(Decrypt24x16[CTR])</f>
        <v>148.262</v>
      </c>
      <c r="AJ108" s="5" t="s">
        <v>11</v>
      </c>
      <c r="AK108" s="6">
        <f>MAX(Decrypt32x16[ECB])</f>
        <v>89.58</v>
      </c>
      <c r="AL108" s="6">
        <f>MAX(Decrypt32x16[CBC])</f>
        <v>108.73699999999999</v>
      </c>
      <c r="AM108" s="6">
        <f>MAX(Decrypt32x16[OFB])</f>
        <v>185.459</v>
      </c>
      <c r="AN108" s="6">
        <f>MAX(Decrypt32x16[CFB])</f>
        <v>179.69900000000001</v>
      </c>
      <c r="AO108" s="7">
        <f>MAX(Decrypt32x16[CTR])</f>
        <v>167.58099999999999</v>
      </c>
    </row>
    <row r="109" spans="1:41">
      <c r="A109" t="s">
        <v>9</v>
      </c>
      <c r="B109">
        <f>MEDIAN(Encrypt16x16[ECB])</f>
        <v>115.791</v>
      </c>
      <c r="C109">
        <f>MEDIAN(Encrypt16x16[CBC])</f>
        <v>0.1162175</v>
      </c>
      <c r="D109">
        <f>MEDIAN(Encrypt16x16[OFB])</f>
        <v>0.11644299999999999</v>
      </c>
      <c r="E109">
        <f>MEDIAN(Encrypt16x16[CFB])</f>
        <v>0.1163385</v>
      </c>
      <c r="F109">
        <f>MEDIAN(Encrypt16x16[CTR])</f>
        <v>0.1159685</v>
      </c>
      <c r="H109" s="11" t="s">
        <v>9</v>
      </c>
      <c r="I109" s="12">
        <f>MEDIAN(Encrypt24x16[ECB])</f>
        <v>125.2295</v>
      </c>
      <c r="J109" s="12">
        <f>MEDIAN(Encrypt24x16[CBC])</f>
        <v>0.124113</v>
      </c>
      <c r="K109" s="12">
        <f>MEDIAN(Encrypt24x16[OFB])</f>
        <v>0.1225005</v>
      </c>
      <c r="L109" s="12">
        <f>MEDIAN(Encrypt24x16[CFB])</f>
        <v>0.12607950000000001</v>
      </c>
      <c r="M109" s="12">
        <f>MEDIAN(Encrypt24x16[CTR])</f>
        <v>0.12345049999999999</v>
      </c>
      <c r="O109" s="11" t="s">
        <v>9</v>
      </c>
      <c r="P109" s="12">
        <f>MEDIAN(Encrypt32x16[ECB])</f>
        <v>124.16900000000001</v>
      </c>
      <c r="Q109" s="12">
        <f>MEDIAN(Encrypt32x16[CBC])</f>
        <v>0.1241855</v>
      </c>
      <c r="R109" s="12">
        <f>MEDIAN(Encrypt32x16[OFB])</f>
        <v>0.1241285</v>
      </c>
      <c r="S109" s="12">
        <f>MEDIAN(Encrypt32x16[CFB])</f>
        <v>0.1245305</v>
      </c>
      <c r="T109" s="12">
        <f>MEDIAN(Encrypt32x16[CTR])</f>
        <v>0.123044</v>
      </c>
      <c r="V109" s="11" t="s">
        <v>9</v>
      </c>
      <c r="W109" s="12">
        <f>MEDIAN(Decrypt16x16[ECB])</f>
        <v>63.108999999999995</v>
      </c>
      <c r="X109" s="12">
        <f>MEDIAN(Decrypt16x16[CBC])</f>
        <v>62.686499999999995</v>
      </c>
      <c r="Y109" s="12">
        <f>MEDIAN(Decrypt16x16[OFB])</f>
        <v>141.971</v>
      </c>
      <c r="Z109" s="12">
        <f>MEDIAN(Decrypt16x16[CFB])</f>
        <v>190.52949999999998</v>
      </c>
      <c r="AA109" s="13">
        <f>MEDIAN(Decrypt16x16[CTR])</f>
        <v>147.44900000000001</v>
      </c>
      <c r="AC109" s="11" t="s">
        <v>9</v>
      </c>
      <c r="AD109" s="12">
        <f>MEDIAN(Decrypt24x16[ECB])</f>
        <v>65.02600000000001</v>
      </c>
      <c r="AE109" s="12">
        <f>MEDIAN(Decrypt24x16[CBC])</f>
        <v>65.579499999999996</v>
      </c>
      <c r="AF109" s="12">
        <f>MEDIAN(Decrypt24x16[OFB])</f>
        <v>138.57549999999998</v>
      </c>
      <c r="AG109" s="12">
        <f>MEDIAN(Decrypt24x16[CFB])</f>
        <v>147.51900000000001</v>
      </c>
      <c r="AH109" s="13">
        <f>MEDIAN(Decrypt24x16[CTR])</f>
        <v>140.43549999999999</v>
      </c>
      <c r="AJ109" s="11" t="s">
        <v>9</v>
      </c>
      <c r="AK109" s="12">
        <f>MEDIAN(Decrypt32x16[ECB])</f>
        <v>66.465499999999992</v>
      </c>
      <c r="AL109" s="12">
        <f>MEDIAN(Decrypt32x16[CBC])</f>
        <v>66.221499999999992</v>
      </c>
      <c r="AM109" s="12">
        <f>MEDIAN(Decrypt32x16[OFB])</f>
        <v>143.51150000000001</v>
      </c>
      <c r="AN109" s="12">
        <f>MEDIAN(Decrypt32x16[CFB])</f>
        <v>151.499</v>
      </c>
      <c r="AO109" s="13">
        <f>MEDIAN(Decrypt32x16[CTR])</f>
        <v>144.95299999999997</v>
      </c>
    </row>
    <row r="110" spans="1:41">
      <c r="E110" s="1"/>
      <c r="H110" s="1"/>
    </row>
    <row r="111" spans="1:41">
      <c r="D111" s="1"/>
      <c r="E111" s="1"/>
      <c r="F111" s="1"/>
      <c r="G111" s="1"/>
      <c r="H111" s="1"/>
    </row>
    <row r="112" spans="1:41">
      <c r="D112" s="1"/>
      <c r="E112" s="1"/>
      <c r="F112" s="1"/>
      <c r="G112" s="1"/>
      <c r="H112" s="1"/>
    </row>
    <row r="113" spans="4:8">
      <c r="D113" s="1"/>
      <c r="E113" s="1"/>
      <c r="F113" s="1"/>
      <c r="G113" s="1"/>
      <c r="H113" s="1"/>
    </row>
    <row r="114" spans="4:8">
      <c r="D114" s="1"/>
      <c r="E114" s="1"/>
      <c r="F114" s="1"/>
      <c r="G114" s="1"/>
      <c r="H114" s="1"/>
    </row>
    <row r="115" spans="4:8">
      <c r="H115" s="1"/>
    </row>
    <row r="120" spans="4:8">
      <c r="D120" s="1"/>
      <c r="E120" s="1"/>
      <c r="F120" s="1"/>
      <c r="G120" s="1"/>
    </row>
    <row r="121" spans="4:8">
      <c r="D121" s="1"/>
      <c r="E121" s="1"/>
      <c r="F121" s="1"/>
      <c r="G121" s="1"/>
      <c r="H121" s="1"/>
    </row>
    <row r="122" spans="4:8">
      <c r="D122" s="1"/>
      <c r="E122" s="1"/>
      <c r="F122" s="1"/>
      <c r="G122" s="1"/>
      <c r="H122" s="1"/>
    </row>
    <row r="123" spans="4:8">
      <c r="D123" s="1"/>
      <c r="F123" s="1"/>
      <c r="G123" s="1"/>
      <c r="H123" s="1"/>
    </row>
    <row r="124" spans="4:8">
      <c r="D124" s="1"/>
      <c r="E124" s="1"/>
      <c r="F124" s="1"/>
      <c r="G124" s="1"/>
      <c r="H124" s="1"/>
    </row>
    <row r="125" spans="4:8">
      <c r="E125" s="1"/>
      <c r="F125" s="1"/>
      <c r="G125" s="1"/>
      <c r="H125" s="1"/>
    </row>
    <row r="126" spans="4:8">
      <c r="D126" s="1"/>
      <c r="E126" s="1"/>
      <c r="H126" s="1"/>
    </row>
    <row r="127" spans="4:8">
      <c r="D127" s="1"/>
      <c r="E127" s="1"/>
      <c r="F127" s="1"/>
      <c r="G127" s="1"/>
    </row>
    <row r="128" spans="4:8">
      <c r="D128" s="1"/>
      <c r="E128" s="1"/>
      <c r="F128" s="1"/>
      <c r="G128" s="1"/>
      <c r="H128" s="1"/>
    </row>
    <row r="129" spans="4:8">
      <c r="E129" s="1"/>
      <c r="F129" s="1"/>
      <c r="G129" s="1"/>
      <c r="H129" s="1"/>
    </row>
    <row r="130" spans="4:8">
      <c r="D130" s="1"/>
      <c r="E130" s="1"/>
      <c r="F130" s="1"/>
      <c r="G130" s="1"/>
      <c r="H130" s="1"/>
    </row>
    <row r="131" spans="4:8">
      <c r="D131" s="1"/>
      <c r="E131" s="1"/>
      <c r="F131" s="1"/>
      <c r="G131" s="1"/>
      <c r="H131" s="1"/>
    </row>
    <row r="132" spans="4:8">
      <c r="D132" s="1"/>
      <c r="E132" s="1"/>
      <c r="F132" s="1"/>
      <c r="G132" s="1"/>
    </row>
    <row r="133" spans="4:8">
      <c r="D133" s="1"/>
      <c r="F133" s="1"/>
      <c r="G133" s="1"/>
      <c r="H133" s="1"/>
    </row>
    <row r="134" spans="4:8">
      <c r="D134" s="1"/>
      <c r="E134" s="1"/>
      <c r="H134" s="1"/>
    </row>
    <row r="135" spans="4:8">
      <c r="E135" s="1"/>
      <c r="F135" s="1"/>
      <c r="G135" s="1"/>
    </row>
    <row r="136" spans="4:8">
      <c r="D136" s="1"/>
      <c r="E136" s="1"/>
      <c r="F136" s="1"/>
      <c r="G136" s="1"/>
      <c r="H136" s="1"/>
    </row>
    <row r="137" spans="4:8">
      <c r="D137" s="1"/>
    </row>
    <row r="138" spans="4:8">
      <c r="D138" s="1"/>
      <c r="E138" s="1"/>
      <c r="F138" s="1"/>
      <c r="G138" s="1"/>
    </row>
    <row r="139" spans="4:8">
      <c r="D139" s="1"/>
      <c r="E139" s="1"/>
      <c r="F139" s="1"/>
      <c r="G139" s="1"/>
      <c r="H139" s="1"/>
    </row>
    <row r="142" spans="4:8">
      <c r="D142" s="1"/>
      <c r="F142" s="1"/>
      <c r="G142" s="1"/>
    </row>
    <row r="143" spans="4:8">
      <c r="E143" s="1"/>
      <c r="F143" s="1"/>
      <c r="G143" s="1"/>
    </row>
    <row r="144" spans="4:8">
      <c r="D144" s="1"/>
      <c r="E144" s="1"/>
      <c r="F144" s="1"/>
      <c r="G144" s="1"/>
      <c r="H144" s="1"/>
    </row>
    <row r="145" spans="4:8">
      <c r="D145" s="1"/>
      <c r="E145" s="1"/>
      <c r="H145" s="1"/>
    </row>
    <row r="146" spans="4:8">
      <c r="D146" s="1"/>
      <c r="E146" s="1"/>
      <c r="F146" s="1"/>
      <c r="G146" s="1"/>
      <c r="H146" s="1"/>
    </row>
    <row r="147" spans="4:8">
      <c r="D147" s="1"/>
      <c r="E147" s="1"/>
      <c r="H147" s="1"/>
    </row>
    <row r="148" spans="4:8">
      <c r="E148" s="1"/>
      <c r="F148" s="1"/>
      <c r="G148" s="1"/>
      <c r="H148" s="1"/>
    </row>
    <row r="149" spans="4:8">
      <c r="E149" s="1"/>
      <c r="F149" s="1"/>
      <c r="G149" s="1"/>
      <c r="H149" s="1"/>
    </row>
    <row r="150" spans="4:8">
      <c r="D150" s="1"/>
      <c r="E150" s="1"/>
      <c r="F150" s="1"/>
      <c r="G150" s="1"/>
    </row>
    <row r="151" spans="4:8">
      <c r="D151" s="1"/>
      <c r="E151" s="1"/>
      <c r="F151" s="1"/>
      <c r="G151" s="1"/>
      <c r="H151" s="1"/>
    </row>
    <row r="152" spans="4:8">
      <c r="D152" s="1"/>
      <c r="E152" s="1"/>
      <c r="F152" s="1"/>
      <c r="G152" s="1"/>
      <c r="H152" s="1"/>
    </row>
    <row r="153" spans="4:8">
      <c r="D153" s="1"/>
      <c r="F153" s="1"/>
      <c r="G153" s="1"/>
      <c r="H153" s="1"/>
    </row>
    <row r="154" spans="4:8">
      <c r="D154" s="1"/>
      <c r="E154" s="1"/>
      <c r="F154" s="1"/>
      <c r="G154" s="1"/>
      <c r="H154" s="1"/>
    </row>
    <row r="155" spans="4:8">
      <c r="E155" s="1"/>
      <c r="H155" s="1"/>
    </row>
    <row r="156" spans="4:8">
      <c r="D156" s="1"/>
      <c r="E156" s="1"/>
      <c r="F156" s="1"/>
      <c r="G156" s="1"/>
      <c r="H156" s="1"/>
    </row>
    <row r="157" spans="4:8">
      <c r="D157" s="1"/>
      <c r="E157" s="1"/>
      <c r="F157" s="1"/>
      <c r="G157" s="1"/>
      <c r="H157" s="1"/>
    </row>
    <row r="158" spans="4:8">
      <c r="D158" s="1"/>
      <c r="E158" s="1"/>
      <c r="F158" s="1"/>
      <c r="G158" s="1"/>
      <c r="H158" s="1"/>
    </row>
    <row r="159" spans="4:8">
      <c r="D159" s="1"/>
      <c r="E159" s="1"/>
      <c r="F159" s="1"/>
      <c r="G159" s="1"/>
      <c r="H159" s="1"/>
    </row>
    <row r="160" spans="4:8">
      <c r="D160" s="1"/>
      <c r="E160" s="1"/>
      <c r="F160" s="1"/>
      <c r="G160" s="1"/>
      <c r="H160" s="1"/>
    </row>
    <row r="161" spans="4:8">
      <c r="D161" s="1"/>
      <c r="E161" s="1"/>
      <c r="F161" s="1"/>
      <c r="G161" s="1"/>
      <c r="H161" s="1"/>
    </row>
    <row r="162" spans="4:8">
      <c r="D162" s="1"/>
      <c r="E162" s="1"/>
      <c r="F162" s="1"/>
      <c r="G162" s="1"/>
      <c r="H162" s="1"/>
    </row>
    <row r="163" spans="4:8">
      <c r="D163" s="1"/>
      <c r="E163" s="1"/>
      <c r="H163" s="1"/>
    </row>
    <row r="164" spans="4:8">
      <c r="D164" s="1"/>
      <c r="E164" s="1"/>
      <c r="F164" s="1"/>
      <c r="G164" s="1"/>
    </row>
    <row r="165" spans="4:8">
      <c r="D165" s="1"/>
      <c r="H165" s="1"/>
    </row>
    <row r="166" spans="4:8">
      <c r="D166" s="1"/>
      <c r="E166" s="1"/>
      <c r="F166" s="1"/>
      <c r="G166" s="1"/>
    </row>
    <row r="167" spans="4:8">
      <c r="E167" s="1"/>
      <c r="F167" s="1"/>
      <c r="G167" s="1"/>
    </row>
    <row r="168" spans="4:8">
      <c r="D168" s="1"/>
      <c r="F168" s="1"/>
      <c r="G168" s="1"/>
      <c r="H168" s="1"/>
    </row>
    <row r="169" spans="4:8">
      <c r="D169" s="1"/>
      <c r="E169" s="1"/>
      <c r="F169" s="1"/>
      <c r="G169" s="1"/>
      <c r="H169" s="1"/>
    </row>
    <row r="170" spans="4:8">
      <c r="E170" s="1"/>
      <c r="F170" s="1"/>
      <c r="G170" s="1"/>
      <c r="H170" s="1"/>
    </row>
    <row r="171" spans="4:8">
      <c r="D171" s="1"/>
      <c r="E171" s="1"/>
      <c r="F171" s="1"/>
      <c r="G171" s="1"/>
      <c r="H171" s="1"/>
    </row>
    <row r="172" spans="4:8">
      <c r="F172" s="1"/>
      <c r="G172" s="1"/>
      <c r="H172" s="1"/>
    </row>
    <row r="173" spans="4:8">
      <c r="D173" s="1"/>
      <c r="E173" s="1"/>
      <c r="F173" s="1"/>
      <c r="G173" s="1"/>
      <c r="H173" s="1"/>
    </row>
    <row r="174" spans="4:8">
      <c r="F174" s="1"/>
      <c r="G174" s="1"/>
      <c r="H174" s="1"/>
    </row>
    <row r="175" spans="4:8">
      <c r="D175" s="1"/>
      <c r="E175" s="1"/>
      <c r="F175" s="1"/>
      <c r="G175" s="1"/>
      <c r="H175" s="1"/>
    </row>
    <row r="176" spans="4:8">
      <c r="D176" s="1"/>
      <c r="F176" s="1"/>
      <c r="G176" s="1"/>
    </row>
    <row r="177" spans="4:8">
      <c r="D177" s="1"/>
      <c r="E177" s="1"/>
      <c r="H177" s="1"/>
    </row>
    <row r="178" spans="4:8">
      <c r="D178" s="1"/>
      <c r="F178" s="1"/>
      <c r="G178" s="1"/>
      <c r="H178" s="1"/>
    </row>
    <row r="179" spans="4:8">
      <c r="D179" s="1"/>
      <c r="E179" s="1"/>
      <c r="F179" s="1"/>
      <c r="G179" s="1"/>
      <c r="H179" s="1"/>
    </row>
    <row r="180" spans="4:8">
      <c r="D180" s="1"/>
      <c r="E180" s="1"/>
      <c r="F180" s="1"/>
      <c r="G180" s="1"/>
      <c r="H180" s="1"/>
    </row>
    <row r="181" spans="4:8">
      <c r="D181" s="1"/>
      <c r="E181" s="1"/>
      <c r="F181" s="1"/>
      <c r="G181" s="1"/>
      <c r="H181" s="1"/>
    </row>
    <row r="182" spans="4:8">
      <c r="D182" s="1"/>
      <c r="E182" s="1"/>
      <c r="F182" s="1"/>
      <c r="G182" s="1"/>
      <c r="H182" s="1"/>
    </row>
    <row r="183" spans="4:8">
      <c r="D183" s="1"/>
      <c r="E183" s="1"/>
      <c r="F183" s="1"/>
      <c r="G183" s="1"/>
      <c r="H183" s="1"/>
    </row>
    <row r="184" spans="4:8">
      <c r="D184" s="1"/>
      <c r="E184" s="1"/>
      <c r="F184" s="1"/>
      <c r="G184" s="1"/>
      <c r="H184" s="1"/>
    </row>
    <row r="185" spans="4:8">
      <c r="D185" s="1"/>
      <c r="E185" s="1"/>
      <c r="F185" s="1"/>
      <c r="G185" s="1"/>
      <c r="H185" s="1"/>
    </row>
    <row r="186" spans="4:8">
      <c r="E186" s="1"/>
      <c r="F186" s="1"/>
      <c r="G186" s="1"/>
      <c r="H186" s="1"/>
    </row>
    <row r="187" spans="4:8">
      <c r="D187" s="1"/>
      <c r="E187" s="1"/>
      <c r="F187" s="1"/>
      <c r="G187" s="1"/>
      <c r="H187" s="1"/>
    </row>
    <row r="188" spans="4:8">
      <c r="D188" s="1"/>
      <c r="E188" s="1"/>
      <c r="H188" s="1"/>
    </row>
    <row r="189" spans="4:8">
      <c r="D189" s="1"/>
      <c r="E189" s="1"/>
      <c r="F189" s="1"/>
      <c r="G189" s="1"/>
      <c r="H189" s="1"/>
    </row>
    <row r="190" spans="4:8">
      <c r="D190" s="1"/>
      <c r="E190" s="1"/>
      <c r="F190" s="1"/>
      <c r="G190" s="1"/>
      <c r="H190" s="1"/>
    </row>
    <row r="191" spans="4:8">
      <c r="D191" s="1"/>
      <c r="E191" s="1"/>
      <c r="F191" s="1"/>
      <c r="G191" s="1"/>
    </row>
    <row r="192" spans="4:8">
      <c r="D192" s="1"/>
      <c r="F192" s="1"/>
      <c r="G192" s="1"/>
      <c r="H192" s="1"/>
    </row>
    <row r="193" spans="4:8">
      <c r="D193" s="1"/>
      <c r="E193" s="1"/>
      <c r="F193" s="1"/>
      <c r="G193" s="1"/>
      <c r="H193" s="1"/>
    </row>
    <row r="194" spans="4:8">
      <c r="D194" s="1"/>
      <c r="F194" s="1"/>
      <c r="G194" s="1"/>
      <c r="H194" s="1"/>
    </row>
    <row r="195" spans="4:8">
      <c r="D195" s="1"/>
      <c r="E195" s="1"/>
      <c r="F195" s="1"/>
      <c r="G195" s="1"/>
    </row>
    <row r="196" spans="4:8">
      <c r="D196" s="1"/>
      <c r="E196" s="1"/>
      <c r="F196" s="1"/>
      <c r="G196" s="1"/>
    </row>
    <row r="197" spans="4:8">
      <c r="D197" s="1"/>
      <c r="E197" s="1"/>
      <c r="F197" s="1"/>
      <c r="G197" s="1"/>
      <c r="H197" s="1"/>
    </row>
    <row r="198" spans="4:8">
      <c r="D198" s="1"/>
      <c r="E198" s="1"/>
      <c r="F198" s="1"/>
      <c r="G198" s="1"/>
      <c r="H198" s="1"/>
    </row>
    <row r="199" spans="4:8">
      <c r="D199" s="1"/>
      <c r="E199" s="1"/>
      <c r="F199" s="1"/>
      <c r="G199" s="1"/>
      <c r="H199" s="1"/>
    </row>
    <row r="200" spans="4:8">
      <c r="D200" s="1"/>
      <c r="E200" s="1"/>
      <c r="F200" s="1"/>
      <c r="G200" s="1"/>
      <c r="H200" s="1"/>
    </row>
    <row r="201" spans="4:8">
      <c r="D201" s="1"/>
      <c r="E201" s="1"/>
      <c r="F201" s="1"/>
      <c r="G201" s="1"/>
      <c r="H201" s="1"/>
    </row>
    <row r="202" spans="4:8">
      <c r="D202" s="1"/>
      <c r="H202" s="1"/>
    </row>
    <row r="203" spans="4:8">
      <c r="D203" s="1"/>
      <c r="E203" s="1"/>
      <c r="F203" s="1"/>
      <c r="G203" s="1"/>
      <c r="H203" s="1"/>
    </row>
    <row r="204" spans="4:8">
      <c r="D204" s="1"/>
      <c r="E204" s="1"/>
      <c r="F204" s="1"/>
      <c r="G204" s="1"/>
      <c r="H204" s="1"/>
    </row>
    <row r="205" spans="4:8">
      <c r="D205" s="1"/>
      <c r="E205" s="1"/>
      <c r="F205" s="1"/>
      <c r="G205" s="1"/>
      <c r="H205" s="1"/>
    </row>
    <row r="206" spans="4:8">
      <c r="D206" s="1"/>
      <c r="E206" s="1"/>
      <c r="F206" s="1"/>
      <c r="G206" s="1"/>
      <c r="H206" s="1"/>
    </row>
    <row r="207" spans="4:8">
      <c r="D207" s="1"/>
      <c r="E207" s="1"/>
      <c r="F207" s="1"/>
      <c r="G207" s="1"/>
      <c r="H207" s="1"/>
    </row>
    <row r="208" spans="4:8">
      <c r="D208" s="1"/>
      <c r="E208" s="1"/>
      <c r="F208" s="1"/>
      <c r="G208" s="1"/>
      <c r="H208" s="1"/>
    </row>
    <row r="209" spans="4:8">
      <c r="D209" s="1"/>
      <c r="E209" s="1"/>
      <c r="F209" s="1"/>
      <c r="G209" s="1"/>
      <c r="H209" s="1"/>
    </row>
    <row r="210" spans="4:8">
      <c r="D210" s="1"/>
      <c r="E210" s="1"/>
      <c r="H210" s="1"/>
    </row>
    <row r="211" spans="4:8">
      <c r="D211" s="1"/>
      <c r="E211" s="1"/>
    </row>
    <row r="212" spans="4:8">
      <c r="D212" s="1"/>
      <c r="E212" s="1"/>
      <c r="F212" s="1"/>
      <c r="G212" s="1"/>
      <c r="H212" s="1"/>
    </row>
    <row r="213" spans="4:8">
      <c r="D213" s="1"/>
      <c r="E213" s="1"/>
      <c r="F213" s="1"/>
      <c r="G213" s="1"/>
      <c r="H213" s="1"/>
    </row>
    <row r="214" spans="4:8">
      <c r="D214" s="1"/>
      <c r="E214" s="1"/>
      <c r="F214" s="1"/>
      <c r="G214" s="1"/>
      <c r="H214" s="1"/>
    </row>
    <row r="215" spans="4:8">
      <c r="D215" s="1"/>
      <c r="E215" s="1"/>
      <c r="F215" s="1"/>
      <c r="G215" s="1"/>
      <c r="H215" s="1"/>
    </row>
    <row r="216" spans="4:8">
      <c r="D216" s="1"/>
      <c r="E216" s="1"/>
      <c r="F216" s="1"/>
      <c r="G216" s="1"/>
      <c r="H216" s="1"/>
    </row>
    <row r="217" spans="4:8">
      <c r="D217" s="1"/>
      <c r="E217" s="1"/>
      <c r="F217" s="1"/>
      <c r="G217" s="1"/>
      <c r="H217" s="1"/>
    </row>
    <row r="218" spans="4:8">
      <c r="D218" s="1"/>
      <c r="E218" s="1"/>
      <c r="F218" s="1"/>
      <c r="G218" s="1"/>
      <c r="H218" s="1"/>
    </row>
    <row r="219" spans="4:8">
      <c r="D219" s="1"/>
      <c r="E219" s="1"/>
      <c r="F219" s="1"/>
      <c r="G219" s="1"/>
      <c r="H219" s="1"/>
    </row>
    <row r="220" spans="4:8">
      <c r="H220" s="1"/>
    </row>
    <row r="221" spans="4:8">
      <c r="H221" s="1"/>
    </row>
  </sheetData>
  <dataConsolidate/>
  <pageMargins left="0.75" right="0.75" top="1" bottom="1" header="0.5" footer="0.5"/>
  <pageSetup paperSize="9" orientation="portrait" horizontalDpi="4294967292" verticalDpi="4294967292"/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09"/>
  <sheetViews>
    <sheetView workbookViewId="0">
      <selection activeCell="B3" sqref="B3:F22"/>
    </sheetView>
  </sheetViews>
  <sheetFormatPr baseColWidth="10" defaultRowHeight="15" x14ac:dyDescent="0"/>
  <sheetData>
    <row r="1" spans="1:44">
      <c r="B1" t="s">
        <v>16</v>
      </c>
      <c r="I1" t="s">
        <v>17</v>
      </c>
      <c r="P1" t="s">
        <v>18</v>
      </c>
      <c r="W1" t="s">
        <v>19</v>
      </c>
      <c r="AD1" t="s">
        <v>20</v>
      </c>
      <c r="AK1" t="s">
        <v>21</v>
      </c>
    </row>
    <row r="2" spans="1:44">
      <c r="A2" t="s">
        <v>24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I2" t="s">
        <v>0</v>
      </c>
      <c r="J2" t="s">
        <v>1</v>
      </c>
      <c r="K2" t="s">
        <v>2</v>
      </c>
      <c r="L2" t="s">
        <v>3</v>
      </c>
      <c r="M2" t="s">
        <v>4</v>
      </c>
      <c r="P2" t="s">
        <v>0</v>
      </c>
      <c r="Q2" t="s">
        <v>1</v>
      </c>
      <c r="R2" t="s">
        <v>2</v>
      </c>
      <c r="S2" t="s">
        <v>3</v>
      </c>
      <c r="T2" t="s">
        <v>4</v>
      </c>
      <c r="W2" t="s">
        <v>0</v>
      </c>
      <c r="X2" t="s">
        <v>1</v>
      </c>
      <c r="Y2" t="s">
        <v>2</v>
      </c>
      <c r="Z2" t="s">
        <v>3</v>
      </c>
      <c r="AA2" t="s">
        <v>4</v>
      </c>
      <c r="AD2" t="s">
        <v>0</v>
      </c>
      <c r="AE2" t="s">
        <v>1</v>
      </c>
      <c r="AF2" t="s">
        <v>2</v>
      </c>
      <c r="AG2" t="s">
        <v>3</v>
      </c>
      <c r="AH2" t="s">
        <v>4</v>
      </c>
      <c r="AK2" t="s">
        <v>0</v>
      </c>
      <c r="AL2" t="s">
        <v>1</v>
      </c>
      <c r="AM2" t="s">
        <v>2</v>
      </c>
      <c r="AN2" t="s">
        <v>3</v>
      </c>
      <c r="AO2" t="s">
        <v>4</v>
      </c>
      <c r="AP2" t="s">
        <v>22</v>
      </c>
      <c r="AQ2" t="s">
        <v>5</v>
      </c>
      <c r="AR2" t="s">
        <v>6</v>
      </c>
    </row>
    <row r="3" spans="1:44">
      <c r="A3">
        <v>1</v>
      </c>
      <c r="B3">
        <v>587.21699999999998</v>
      </c>
      <c r="C3" s="1">
        <v>0.72845700000000002</v>
      </c>
      <c r="D3" s="1">
        <v>0.69856099999999999</v>
      </c>
      <c r="E3" s="1">
        <v>0.63672499999999999</v>
      </c>
      <c r="F3" s="1">
        <v>0.64326000000000005</v>
      </c>
      <c r="I3">
        <v>608.92200000000003</v>
      </c>
      <c r="J3" s="1">
        <v>0.61892899999999995</v>
      </c>
      <c r="K3" s="1">
        <v>0.66607899999999998</v>
      </c>
      <c r="L3" s="1">
        <v>0.61702800000000002</v>
      </c>
      <c r="M3" s="1">
        <v>0.60885699999999998</v>
      </c>
      <c r="P3">
        <v>599.93200000000002</v>
      </c>
      <c r="Q3" s="1">
        <v>0.63985700000000001</v>
      </c>
      <c r="R3" s="1">
        <v>0.62966699999999998</v>
      </c>
      <c r="S3" s="1">
        <v>0.66315599999999997</v>
      </c>
      <c r="T3" s="1">
        <v>0.60171300000000005</v>
      </c>
      <c r="U3" s="1"/>
      <c r="W3">
        <v>330.673</v>
      </c>
      <c r="X3">
        <v>327.11799999999999</v>
      </c>
      <c r="Y3">
        <v>747.55799999999999</v>
      </c>
      <c r="Z3">
        <v>1229.8499999999999</v>
      </c>
      <c r="AA3">
        <v>932.97500000000002</v>
      </c>
      <c r="AD3">
        <v>394.73599999999999</v>
      </c>
      <c r="AE3">
        <v>323.90300000000002</v>
      </c>
      <c r="AF3">
        <v>762.01400000000001</v>
      </c>
      <c r="AG3">
        <v>1091.1099999999999</v>
      </c>
      <c r="AH3">
        <v>841.31899999999996</v>
      </c>
      <c r="AK3">
        <v>388.13600000000002</v>
      </c>
      <c r="AL3">
        <v>346.49700000000001</v>
      </c>
      <c r="AM3">
        <v>710.62099999999998</v>
      </c>
      <c r="AN3">
        <v>928.85500000000002</v>
      </c>
      <c r="AO3">
        <v>741.46699999999998</v>
      </c>
    </row>
    <row r="4" spans="1:44">
      <c r="A4">
        <v>2</v>
      </c>
      <c r="B4">
        <v>693.50099999999998</v>
      </c>
      <c r="C4" s="1">
        <v>0.62384499999999998</v>
      </c>
      <c r="D4" s="1">
        <v>0.59304199999999996</v>
      </c>
      <c r="E4" s="1">
        <v>0.59253900000000004</v>
      </c>
      <c r="F4" s="1">
        <v>0.597221</v>
      </c>
      <c r="I4">
        <v>612.09799999999996</v>
      </c>
      <c r="J4" s="1">
        <v>0.59055299999999999</v>
      </c>
      <c r="K4" s="1">
        <v>0.59095699999999995</v>
      </c>
      <c r="L4" s="1">
        <v>0.60804400000000003</v>
      </c>
      <c r="M4" s="1">
        <v>0.659694</v>
      </c>
      <c r="P4">
        <v>622.28200000000004</v>
      </c>
      <c r="Q4">
        <v>0.63007000000000002</v>
      </c>
      <c r="R4">
        <v>0.74618200000000001</v>
      </c>
      <c r="S4" s="1">
        <v>0.61025099999999999</v>
      </c>
      <c r="T4" s="1">
        <v>0.619861</v>
      </c>
      <c r="U4" s="1"/>
      <c r="W4">
        <v>380.05599999999998</v>
      </c>
      <c r="X4">
        <v>440.74799999999999</v>
      </c>
      <c r="Y4">
        <v>884.71299999999997</v>
      </c>
      <c r="Z4">
        <v>1225.3800000000001</v>
      </c>
      <c r="AA4">
        <v>899.79300000000001</v>
      </c>
      <c r="AD4">
        <v>415.62299999999999</v>
      </c>
      <c r="AE4">
        <v>352.512</v>
      </c>
      <c r="AF4">
        <v>874.63699999999994</v>
      </c>
      <c r="AG4">
        <v>1106.23</v>
      </c>
      <c r="AH4">
        <v>816.62199999999996</v>
      </c>
      <c r="AK4">
        <v>327.81700000000001</v>
      </c>
      <c r="AL4">
        <v>334.55200000000002</v>
      </c>
      <c r="AM4">
        <v>729.05899999999997</v>
      </c>
      <c r="AN4">
        <v>1096.8399999999999</v>
      </c>
      <c r="AO4">
        <v>727.43</v>
      </c>
    </row>
    <row r="5" spans="1:44">
      <c r="A5">
        <v>3</v>
      </c>
      <c r="B5">
        <v>623.49599999999998</v>
      </c>
      <c r="C5" s="1">
        <v>0.60603099999999999</v>
      </c>
      <c r="D5" s="1">
        <v>0.61517699999999997</v>
      </c>
      <c r="E5" s="1">
        <v>0.67759000000000003</v>
      </c>
      <c r="F5" s="1">
        <v>0.82282900000000003</v>
      </c>
      <c r="I5">
        <v>646.404</v>
      </c>
      <c r="J5" s="1">
        <v>0.58459799999999995</v>
      </c>
      <c r="K5" s="1">
        <v>0.61287400000000003</v>
      </c>
      <c r="L5" s="1">
        <v>0.59083300000000005</v>
      </c>
      <c r="M5" s="1">
        <v>0.583874</v>
      </c>
      <c r="P5">
        <v>590.93399999999997</v>
      </c>
      <c r="Q5" s="1">
        <v>0.59339500000000001</v>
      </c>
      <c r="R5" s="1">
        <v>0.60799000000000003</v>
      </c>
      <c r="S5" s="1">
        <v>0.59084599999999998</v>
      </c>
      <c r="T5" s="1">
        <v>0.58626100000000003</v>
      </c>
      <c r="U5" s="1"/>
      <c r="W5">
        <v>391.495</v>
      </c>
      <c r="X5">
        <v>458.274</v>
      </c>
      <c r="Y5">
        <v>992.85299999999995</v>
      </c>
      <c r="Z5">
        <v>1099.25</v>
      </c>
      <c r="AA5">
        <v>784.53200000000004</v>
      </c>
      <c r="AD5">
        <v>416.58499999999998</v>
      </c>
      <c r="AE5">
        <v>345.43099999999998</v>
      </c>
      <c r="AF5">
        <v>794.04300000000001</v>
      </c>
      <c r="AG5">
        <v>1035.79</v>
      </c>
      <c r="AH5">
        <v>727.30899999999997</v>
      </c>
      <c r="AK5">
        <v>341.14600000000002</v>
      </c>
      <c r="AL5">
        <v>334.50299999999999</v>
      </c>
      <c r="AM5">
        <v>751.44100000000003</v>
      </c>
      <c r="AN5">
        <v>968.23099999999999</v>
      </c>
      <c r="AO5">
        <v>714.851</v>
      </c>
    </row>
    <row r="6" spans="1:44">
      <c r="A6">
        <v>4</v>
      </c>
      <c r="B6">
        <v>684.83500000000004</v>
      </c>
      <c r="C6" s="1">
        <v>0.59177400000000002</v>
      </c>
      <c r="D6">
        <v>0.59250199999999997</v>
      </c>
      <c r="E6" s="1">
        <v>0.61750000000000005</v>
      </c>
      <c r="F6" s="1">
        <v>0.62611499999999998</v>
      </c>
      <c r="I6">
        <v>586.35299999999995</v>
      </c>
      <c r="J6" s="1">
        <v>0.60364300000000004</v>
      </c>
      <c r="K6" s="1">
        <v>0.59055800000000003</v>
      </c>
      <c r="L6" s="1">
        <v>0.58688399999999996</v>
      </c>
      <c r="M6" s="1">
        <v>0.57643500000000003</v>
      </c>
      <c r="P6">
        <v>584.97900000000004</v>
      </c>
      <c r="Q6">
        <v>0.60395200000000004</v>
      </c>
      <c r="R6" s="1">
        <v>0.59240700000000002</v>
      </c>
      <c r="S6" s="1">
        <v>0.58682699999999999</v>
      </c>
      <c r="T6" s="1">
        <v>0.58382999999999996</v>
      </c>
      <c r="U6" s="1"/>
      <c r="W6">
        <v>334.274</v>
      </c>
      <c r="X6">
        <v>319.74299999999999</v>
      </c>
      <c r="Y6">
        <v>761.46799999999996</v>
      </c>
      <c r="Z6">
        <v>962.35900000000004</v>
      </c>
      <c r="AA6">
        <v>775.91700000000003</v>
      </c>
      <c r="AD6">
        <v>341.07600000000002</v>
      </c>
      <c r="AE6">
        <v>326.25900000000001</v>
      </c>
      <c r="AF6">
        <v>731.43799999999999</v>
      </c>
      <c r="AG6">
        <v>1064.6099999999999</v>
      </c>
      <c r="AH6">
        <v>757.00199999999995</v>
      </c>
      <c r="AK6">
        <v>334.59899999999999</v>
      </c>
      <c r="AL6">
        <v>346.17200000000003</v>
      </c>
      <c r="AM6">
        <v>806.452</v>
      </c>
      <c r="AN6">
        <v>1023.21</v>
      </c>
      <c r="AO6">
        <v>731.67600000000004</v>
      </c>
    </row>
    <row r="7" spans="1:44">
      <c r="A7">
        <v>5</v>
      </c>
      <c r="B7">
        <v>597.976</v>
      </c>
      <c r="C7" s="1">
        <v>0.57827700000000004</v>
      </c>
      <c r="D7" s="1">
        <v>0.58622600000000002</v>
      </c>
      <c r="E7" s="1">
        <v>0.61666200000000004</v>
      </c>
      <c r="F7" s="1">
        <v>0.61559299999999995</v>
      </c>
      <c r="I7">
        <v>597.68899999999996</v>
      </c>
      <c r="J7" s="1">
        <v>0.58261799999999997</v>
      </c>
      <c r="K7" s="1">
        <v>0.58989499999999995</v>
      </c>
      <c r="L7" s="1">
        <v>0.58846100000000001</v>
      </c>
      <c r="M7" s="1">
        <v>0.57903300000000002</v>
      </c>
      <c r="P7">
        <v>607.88699999999994</v>
      </c>
      <c r="Q7" s="1">
        <v>0.58327899999999999</v>
      </c>
      <c r="R7" s="1">
        <v>0.58644300000000005</v>
      </c>
      <c r="S7" s="1">
        <v>0.59284499999999996</v>
      </c>
      <c r="T7" s="1">
        <v>0.59031900000000004</v>
      </c>
      <c r="U7" s="1"/>
      <c r="W7">
        <v>370.416</v>
      </c>
      <c r="X7">
        <v>324.21899999999999</v>
      </c>
      <c r="Y7">
        <v>804.78300000000002</v>
      </c>
      <c r="Z7">
        <v>1012.08</v>
      </c>
      <c r="AA7">
        <v>804.93799999999999</v>
      </c>
      <c r="AD7">
        <v>348.7</v>
      </c>
      <c r="AE7">
        <v>349.86399999999998</v>
      </c>
      <c r="AF7">
        <v>773.25800000000004</v>
      </c>
      <c r="AG7">
        <v>1022.59</v>
      </c>
      <c r="AH7">
        <v>751.60299999999995</v>
      </c>
      <c r="AK7">
        <v>339.59300000000002</v>
      </c>
      <c r="AL7">
        <v>333.76</v>
      </c>
      <c r="AM7">
        <v>721.96500000000003</v>
      </c>
      <c r="AN7">
        <v>934.65800000000002</v>
      </c>
      <c r="AO7">
        <v>740.36199999999997</v>
      </c>
    </row>
    <row r="8" spans="1:44">
      <c r="A8">
        <v>6</v>
      </c>
      <c r="B8">
        <v>580.76599999999996</v>
      </c>
      <c r="C8">
        <v>0.58661200000000002</v>
      </c>
      <c r="D8" s="1">
        <v>0.59599199999999997</v>
      </c>
      <c r="E8" s="1">
        <v>0.64527199999999996</v>
      </c>
      <c r="F8" s="1">
        <v>0.62491799999999997</v>
      </c>
      <c r="I8">
        <v>621.94399999999996</v>
      </c>
      <c r="J8" s="1">
        <v>0.581708</v>
      </c>
      <c r="K8" s="1">
        <v>0.59115300000000004</v>
      </c>
      <c r="L8" s="1">
        <v>0.58745700000000001</v>
      </c>
      <c r="M8" s="1">
        <v>0.63424199999999997</v>
      </c>
      <c r="P8">
        <v>613.81399999999996</v>
      </c>
      <c r="Q8">
        <v>0.58618400000000004</v>
      </c>
      <c r="R8" s="1">
        <v>0.59023400000000004</v>
      </c>
      <c r="S8" s="1">
        <v>0.58742000000000005</v>
      </c>
      <c r="T8" s="1">
        <v>0.609232</v>
      </c>
      <c r="U8" s="1"/>
      <c r="W8">
        <v>326.59399999999999</v>
      </c>
      <c r="X8">
        <v>317.15300000000002</v>
      </c>
      <c r="Y8">
        <v>710.39</v>
      </c>
      <c r="Z8">
        <v>985.69799999999998</v>
      </c>
      <c r="AA8">
        <v>858.93600000000004</v>
      </c>
      <c r="AD8">
        <v>338.07299999999998</v>
      </c>
      <c r="AE8">
        <v>348.75799999999998</v>
      </c>
      <c r="AF8">
        <v>770.15899999999999</v>
      </c>
      <c r="AG8">
        <v>978.41200000000003</v>
      </c>
      <c r="AH8">
        <v>728.18899999999996</v>
      </c>
      <c r="AK8">
        <v>342.49200000000002</v>
      </c>
      <c r="AL8">
        <v>410.95299999999997</v>
      </c>
      <c r="AM8">
        <v>890.45299999999997</v>
      </c>
      <c r="AN8">
        <v>1367.75</v>
      </c>
      <c r="AO8">
        <v>868.45899999999995</v>
      </c>
    </row>
    <row r="9" spans="1:44">
      <c r="A9">
        <v>7</v>
      </c>
      <c r="B9">
        <v>575.76300000000003</v>
      </c>
      <c r="C9" s="1">
        <v>0.612599</v>
      </c>
      <c r="D9" s="1">
        <v>0.58689400000000003</v>
      </c>
      <c r="E9">
        <v>0.60620499999999999</v>
      </c>
      <c r="F9">
        <v>0.57581099999999996</v>
      </c>
      <c r="I9">
        <v>635.31200000000001</v>
      </c>
      <c r="J9" s="1">
        <v>0.604904</v>
      </c>
      <c r="K9" s="1">
        <v>0.63551100000000005</v>
      </c>
      <c r="L9" s="1">
        <v>0.71741100000000002</v>
      </c>
      <c r="M9">
        <v>0.68791199999999997</v>
      </c>
      <c r="P9">
        <v>582.83900000000006</v>
      </c>
      <c r="Q9" s="1">
        <v>0.583538</v>
      </c>
      <c r="R9" s="1">
        <v>0.58398099999999997</v>
      </c>
      <c r="S9">
        <v>0.60692500000000005</v>
      </c>
      <c r="T9" s="1">
        <v>0.58314900000000003</v>
      </c>
      <c r="U9" s="1"/>
      <c r="W9">
        <v>348.05399999999997</v>
      </c>
      <c r="X9">
        <v>405.19799999999998</v>
      </c>
      <c r="Y9">
        <v>895.15499999999997</v>
      </c>
      <c r="Z9">
        <v>1287.08</v>
      </c>
      <c r="AA9">
        <v>910.85900000000004</v>
      </c>
      <c r="AD9">
        <v>333.16199999999998</v>
      </c>
      <c r="AE9">
        <v>371.84699999999998</v>
      </c>
      <c r="AF9">
        <v>815.66800000000001</v>
      </c>
      <c r="AG9">
        <v>1252.43</v>
      </c>
      <c r="AH9">
        <v>815.04100000000005</v>
      </c>
      <c r="AK9">
        <v>410.654</v>
      </c>
      <c r="AL9">
        <v>502.36900000000003</v>
      </c>
      <c r="AM9">
        <v>1094.99</v>
      </c>
      <c r="AN9">
        <v>1281.56</v>
      </c>
      <c r="AO9">
        <v>1013.73</v>
      </c>
    </row>
    <row r="10" spans="1:44">
      <c r="A10">
        <v>8</v>
      </c>
      <c r="B10">
        <v>596.24599999999998</v>
      </c>
      <c r="C10" s="1">
        <v>0.57377599999999995</v>
      </c>
      <c r="D10" s="1">
        <v>0.74222200000000005</v>
      </c>
      <c r="E10" s="1">
        <v>0.58465599999999995</v>
      </c>
      <c r="F10" s="1">
        <v>0.63667300000000004</v>
      </c>
      <c r="I10">
        <v>638.25900000000001</v>
      </c>
      <c r="J10" s="1">
        <v>0.59892299999999998</v>
      </c>
      <c r="K10" s="1">
        <v>0.63426300000000002</v>
      </c>
      <c r="L10" s="1">
        <v>0.60187599999999997</v>
      </c>
      <c r="M10" s="1">
        <v>0.65527899999999994</v>
      </c>
      <c r="P10">
        <v>582.70299999999997</v>
      </c>
      <c r="Q10" s="1">
        <v>0.58559499999999998</v>
      </c>
      <c r="R10" s="1">
        <v>0.61211400000000005</v>
      </c>
      <c r="S10" s="1">
        <v>0.58727499999999999</v>
      </c>
      <c r="T10" s="1">
        <v>0.58462400000000003</v>
      </c>
      <c r="U10" s="1"/>
      <c r="W10">
        <v>369.28399999999999</v>
      </c>
      <c r="X10">
        <v>401.91500000000002</v>
      </c>
      <c r="Y10">
        <v>808.21299999999997</v>
      </c>
      <c r="Z10">
        <v>1102.3499999999999</v>
      </c>
      <c r="AA10">
        <v>896.80100000000004</v>
      </c>
      <c r="AD10">
        <v>391.81799999999998</v>
      </c>
      <c r="AE10">
        <v>371.73200000000003</v>
      </c>
      <c r="AF10">
        <v>814.66</v>
      </c>
      <c r="AG10">
        <v>1064.47</v>
      </c>
      <c r="AH10">
        <v>846.8</v>
      </c>
      <c r="AK10">
        <v>455.12799999999999</v>
      </c>
      <c r="AL10">
        <v>499.42</v>
      </c>
      <c r="AM10">
        <v>1002.42</v>
      </c>
      <c r="AN10">
        <v>1287.1600000000001</v>
      </c>
      <c r="AO10">
        <v>1025.73</v>
      </c>
    </row>
    <row r="11" spans="1:44">
      <c r="A11">
        <v>9</v>
      </c>
      <c r="B11">
        <v>620.4</v>
      </c>
      <c r="C11" s="1">
        <v>0.60123499999999996</v>
      </c>
      <c r="D11" s="1">
        <v>0.68266499999999997</v>
      </c>
      <c r="E11" s="1">
        <v>0.71947000000000005</v>
      </c>
      <c r="F11" s="1">
        <v>0.62354799999999999</v>
      </c>
      <c r="I11">
        <v>642.86400000000003</v>
      </c>
      <c r="J11" s="1">
        <v>0.65330200000000005</v>
      </c>
      <c r="K11">
        <v>0.60577599999999998</v>
      </c>
      <c r="L11" s="1">
        <v>0.603128</v>
      </c>
      <c r="M11" s="1">
        <v>0.59844799999999998</v>
      </c>
      <c r="P11">
        <v>583.23099999999999</v>
      </c>
      <c r="Q11" s="1">
        <v>0.61041100000000004</v>
      </c>
      <c r="R11">
        <v>0.588696</v>
      </c>
      <c r="S11" s="1">
        <v>0.58799800000000002</v>
      </c>
      <c r="T11" s="1">
        <v>0.58265199999999995</v>
      </c>
      <c r="U11" s="1"/>
      <c r="W11">
        <v>398.16699999999997</v>
      </c>
      <c r="X11">
        <v>350.19900000000001</v>
      </c>
      <c r="Y11">
        <v>722.18100000000004</v>
      </c>
      <c r="Z11">
        <v>1007.75</v>
      </c>
      <c r="AA11">
        <v>773.68700000000001</v>
      </c>
      <c r="AD11">
        <v>349.279</v>
      </c>
      <c r="AE11">
        <v>379.791</v>
      </c>
      <c r="AF11">
        <v>792.63900000000001</v>
      </c>
      <c r="AG11">
        <v>1129.19</v>
      </c>
      <c r="AH11">
        <v>795.34699999999998</v>
      </c>
      <c r="AK11">
        <v>485.92200000000003</v>
      </c>
      <c r="AL11">
        <v>506.33600000000001</v>
      </c>
      <c r="AM11">
        <v>824.51700000000005</v>
      </c>
      <c r="AN11">
        <v>1125.32</v>
      </c>
      <c r="AO11">
        <v>742.47799999999995</v>
      </c>
    </row>
    <row r="12" spans="1:44">
      <c r="A12">
        <v>10</v>
      </c>
      <c r="B12">
        <v>622.82100000000003</v>
      </c>
      <c r="C12">
        <v>0.66792799999999997</v>
      </c>
      <c r="D12" s="1">
        <v>0.62020299999999995</v>
      </c>
      <c r="E12" s="1">
        <v>0.63536999999999999</v>
      </c>
      <c r="F12" s="1">
        <v>0.58062000000000002</v>
      </c>
      <c r="I12">
        <v>586.84799999999996</v>
      </c>
      <c r="J12" s="1">
        <v>0.62840300000000004</v>
      </c>
      <c r="K12" s="1">
        <v>0.61180000000000001</v>
      </c>
      <c r="L12" s="1">
        <v>0.59694400000000003</v>
      </c>
      <c r="M12" s="1">
        <v>0.61319999999999997</v>
      </c>
      <c r="P12">
        <v>620.73299999999995</v>
      </c>
      <c r="Q12" s="1">
        <v>0.58302500000000002</v>
      </c>
      <c r="R12" s="1">
        <v>0.58432799999999996</v>
      </c>
      <c r="S12" s="1">
        <v>0.58603700000000003</v>
      </c>
      <c r="T12" s="1">
        <v>0.58654600000000001</v>
      </c>
      <c r="U12" s="1"/>
      <c r="W12">
        <v>334.60399999999998</v>
      </c>
      <c r="X12">
        <v>347.791</v>
      </c>
      <c r="Y12">
        <v>774.00900000000001</v>
      </c>
      <c r="Z12">
        <v>1028.75</v>
      </c>
      <c r="AA12">
        <v>739.47699999999998</v>
      </c>
      <c r="AD12">
        <v>332.827</v>
      </c>
      <c r="AE12">
        <v>332.48700000000002</v>
      </c>
      <c r="AF12">
        <v>718.42200000000003</v>
      </c>
      <c r="AG12">
        <v>1017.66</v>
      </c>
      <c r="AH12">
        <v>728.95</v>
      </c>
      <c r="AK12">
        <v>347.947</v>
      </c>
      <c r="AL12">
        <v>356.23200000000003</v>
      </c>
      <c r="AM12">
        <v>848.27099999999996</v>
      </c>
      <c r="AN12">
        <v>995.83900000000006</v>
      </c>
      <c r="AO12">
        <v>861.74900000000002</v>
      </c>
    </row>
    <row r="13" spans="1:44">
      <c r="A13">
        <v>11</v>
      </c>
      <c r="B13">
        <v>613.6</v>
      </c>
      <c r="C13" s="1">
        <v>0.58544200000000002</v>
      </c>
      <c r="D13" s="1">
        <v>0.58803499999999997</v>
      </c>
      <c r="E13" s="1">
        <v>0.58777699999999999</v>
      </c>
      <c r="F13" s="1">
        <v>0.58513899999999996</v>
      </c>
      <c r="I13">
        <v>647.09199999999998</v>
      </c>
      <c r="J13" s="1">
        <v>0.59756600000000004</v>
      </c>
      <c r="K13" s="1">
        <v>0.59504199999999996</v>
      </c>
      <c r="L13" s="1">
        <v>0.60387100000000005</v>
      </c>
      <c r="M13" s="1">
        <v>0.58572299999999999</v>
      </c>
      <c r="P13">
        <v>609.61599999999999</v>
      </c>
      <c r="Q13">
        <v>0.58310200000000001</v>
      </c>
      <c r="R13">
        <v>0.586758</v>
      </c>
      <c r="S13" s="1">
        <v>0.58678200000000003</v>
      </c>
      <c r="T13" s="1">
        <v>0.59775400000000001</v>
      </c>
      <c r="U13" s="1"/>
      <c r="W13">
        <v>353.42899999999997</v>
      </c>
      <c r="X13">
        <v>324.12599999999998</v>
      </c>
      <c r="Y13">
        <v>815.47900000000004</v>
      </c>
      <c r="Z13">
        <v>948.50400000000002</v>
      </c>
      <c r="AA13">
        <v>757.13699999999994</v>
      </c>
      <c r="AD13">
        <v>338.19499999999999</v>
      </c>
      <c r="AE13">
        <v>335.40100000000001</v>
      </c>
      <c r="AF13">
        <v>761.29499999999996</v>
      </c>
      <c r="AG13">
        <v>1001.44</v>
      </c>
      <c r="AH13">
        <v>731.45399999999995</v>
      </c>
      <c r="AK13">
        <v>474.56599999999997</v>
      </c>
      <c r="AL13">
        <v>376.99299999999999</v>
      </c>
      <c r="AM13">
        <v>742.82500000000005</v>
      </c>
      <c r="AN13">
        <v>1166.3599999999999</v>
      </c>
      <c r="AO13">
        <v>835.07</v>
      </c>
    </row>
    <row r="14" spans="1:44">
      <c r="A14">
        <v>12</v>
      </c>
      <c r="B14">
        <v>601.68200000000002</v>
      </c>
      <c r="C14" s="1">
        <v>0.61397900000000005</v>
      </c>
      <c r="D14" s="1">
        <v>0.63348899999999997</v>
      </c>
      <c r="E14" s="1">
        <v>0.61917500000000003</v>
      </c>
      <c r="F14">
        <v>0.625282</v>
      </c>
      <c r="I14">
        <v>611.27200000000005</v>
      </c>
      <c r="J14" s="1">
        <v>0.59539200000000003</v>
      </c>
      <c r="K14" s="1">
        <v>0.61305399999999999</v>
      </c>
      <c r="L14" s="1">
        <v>0.59836599999999995</v>
      </c>
      <c r="M14" s="1">
        <v>0.74066699999999996</v>
      </c>
      <c r="P14">
        <v>580.25599999999997</v>
      </c>
      <c r="Q14" s="1">
        <v>0.580542</v>
      </c>
      <c r="R14" s="1">
        <v>0.58645999999999998</v>
      </c>
      <c r="S14" s="1">
        <v>0.67068899999999998</v>
      </c>
      <c r="T14">
        <v>0.58857599999999999</v>
      </c>
      <c r="W14">
        <v>336.584</v>
      </c>
      <c r="X14">
        <v>330.14800000000002</v>
      </c>
      <c r="Y14">
        <v>835.03499999999997</v>
      </c>
      <c r="Z14">
        <v>998.01199999999994</v>
      </c>
      <c r="AA14">
        <v>902.56</v>
      </c>
      <c r="AD14">
        <v>334.99</v>
      </c>
      <c r="AE14">
        <v>364.45499999999998</v>
      </c>
      <c r="AF14">
        <v>724.51599999999996</v>
      </c>
      <c r="AG14">
        <v>978.12599999999998</v>
      </c>
      <c r="AH14">
        <v>761.89400000000001</v>
      </c>
      <c r="AK14">
        <v>427.81799999999998</v>
      </c>
      <c r="AL14">
        <v>339.435</v>
      </c>
      <c r="AM14">
        <v>812.72799999999995</v>
      </c>
      <c r="AN14">
        <v>1026.82</v>
      </c>
      <c r="AO14">
        <v>791.94899999999996</v>
      </c>
    </row>
    <row r="15" spans="1:44">
      <c r="A15">
        <v>13</v>
      </c>
      <c r="B15">
        <v>629.75699999999995</v>
      </c>
      <c r="C15" s="1">
        <v>0.60434699999999997</v>
      </c>
      <c r="D15" s="1">
        <v>0.65538099999999999</v>
      </c>
      <c r="E15" s="1">
        <v>0.66607300000000003</v>
      </c>
      <c r="F15" s="1">
        <v>0.60513799999999995</v>
      </c>
      <c r="I15">
        <v>589.351</v>
      </c>
      <c r="J15">
        <v>0.59104400000000001</v>
      </c>
      <c r="K15">
        <v>0.60336400000000001</v>
      </c>
      <c r="L15">
        <v>0.66808999999999996</v>
      </c>
      <c r="M15" s="1">
        <v>0.64158800000000005</v>
      </c>
      <c r="P15">
        <v>587.65499999999997</v>
      </c>
      <c r="Q15" s="1">
        <v>0.58738599999999996</v>
      </c>
      <c r="R15" s="1">
        <v>0.61719400000000002</v>
      </c>
      <c r="S15" s="1">
        <v>0.62241100000000005</v>
      </c>
      <c r="T15" s="1">
        <v>0.58790900000000001</v>
      </c>
      <c r="U15" s="1"/>
      <c r="W15">
        <v>422.18099999999998</v>
      </c>
      <c r="X15">
        <v>348.923</v>
      </c>
      <c r="Y15">
        <v>903.78700000000003</v>
      </c>
      <c r="Z15">
        <v>1110.67</v>
      </c>
      <c r="AA15">
        <v>897.35</v>
      </c>
      <c r="AD15">
        <v>339.32100000000003</v>
      </c>
      <c r="AE15">
        <v>340.476</v>
      </c>
      <c r="AF15">
        <v>720.24199999999996</v>
      </c>
      <c r="AG15">
        <v>1014.32</v>
      </c>
      <c r="AH15">
        <v>888.37</v>
      </c>
      <c r="AK15">
        <v>346.94600000000003</v>
      </c>
      <c r="AL15">
        <v>447.69799999999998</v>
      </c>
      <c r="AM15">
        <v>886.10900000000004</v>
      </c>
      <c r="AN15">
        <v>1005.17</v>
      </c>
      <c r="AO15">
        <v>790.40499999999997</v>
      </c>
    </row>
    <row r="16" spans="1:44">
      <c r="A16">
        <v>14</v>
      </c>
      <c r="B16">
        <v>650.697</v>
      </c>
      <c r="C16" s="1">
        <v>0.57288700000000004</v>
      </c>
      <c r="D16">
        <v>0.61340600000000001</v>
      </c>
      <c r="E16" s="1">
        <v>0.58389899999999995</v>
      </c>
      <c r="F16" s="1">
        <v>0.59739900000000001</v>
      </c>
      <c r="I16">
        <v>630.39200000000005</v>
      </c>
      <c r="J16" s="1">
        <v>0.64209799999999995</v>
      </c>
      <c r="K16" s="1">
        <v>0.66064800000000001</v>
      </c>
      <c r="L16" s="1">
        <v>0.61377999999999999</v>
      </c>
      <c r="M16" s="1">
        <v>0.74501899999999999</v>
      </c>
      <c r="P16">
        <v>585.61</v>
      </c>
      <c r="Q16" s="1">
        <v>0.60929</v>
      </c>
      <c r="R16" s="1">
        <v>0.59213199999999999</v>
      </c>
      <c r="S16" s="1">
        <v>0.58935099999999996</v>
      </c>
      <c r="T16" s="1">
        <v>0.60288399999999998</v>
      </c>
      <c r="U16" s="1"/>
      <c r="W16">
        <v>394.79199999999997</v>
      </c>
      <c r="X16">
        <v>374.315</v>
      </c>
      <c r="Y16">
        <v>803.90599999999995</v>
      </c>
      <c r="Z16">
        <v>1180.82</v>
      </c>
      <c r="AA16">
        <v>766.28099999999995</v>
      </c>
      <c r="AD16">
        <v>386.62099999999998</v>
      </c>
      <c r="AE16">
        <v>384.78199999999998</v>
      </c>
      <c r="AF16">
        <v>828.54399999999998</v>
      </c>
      <c r="AG16">
        <v>1117.8699999999999</v>
      </c>
      <c r="AH16">
        <v>840.94299999999998</v>
      </c>
      <c r="AK16">
        <v>354.44099999999997</v>
      </c>
      <c r="AL16">
        <v>373.58199999999999</v>
      </c>
      <c r="AM16">
        <v>850.63499999999999</v>
      </c>
      <c r="AN16">
        <v>1055.24</v>
      </c>
      <c r="AO16">
        <v>808.33699999999999</v>
      </c>
    </row>
    <row r="17" spans="1:41">
      <c r="A17">
        <v>15</v>
      </c>
      <c r="B17">
        <v>589.85900000000004</v>
      </c>
      <c r="C17" s="1">
        <v>0.59987500000000005</v>
      </c>
      <c r="D17" s="1">
        <v>0.60269300000000003</v>
      </c>
      <c r="E17">
        <v>0.60381200000000002</v>
      </c>
      <c r="F17">
        <v>0.58156200000000002</v>
      </c>
      <c r="I17">
        <v>611.529</v>
      </c>
      <c r="J17">
        <v>0.64451400000000003</v>
      </c>
      <c r="K17">
        <v>0.60141199999999995</v>
      </c>
      <c r="L17" s="1">
        <v>0.596522</v>
      </c>
      <c r="M17" s="1">
        <v>0.59250700000000001</v>
      </c>
      <c r="P17">
        <v>591.44600000000003</v>
      </c>
      <c r="Q17" s="1">
        <v>0.62658999999999998</v>
      </c>
      <c r="R17" s="1">
        <v>0.59886499999999998</v>
      </c>
      <c r="S17" s="1">
        <v>0.59566300000000005</v>
      </c>
      <c r="T17" s="1">
        <v>0.588283</v>
      </c>
      <c r="U17" s="1"/>
      <c r="W17">
        <v>323.12400000000002</v>
      </c>
      <c r="X17">
        <v>340.69099999999997</v>
      </c>
      <c r="Y17">
        <v>729.73599999999999</v>
      </c>
      <c r="Z17">
        <v>1063.28</v>
      </c>
      <c r="AA17">
        <v>733.077</v>
      </c>
      <c r="AD17">
        <v>407.57600000000002</v>
      </c>
      <c r="AE17">
        <v>370.64100000000002</v>
      </c>
      <c r="AF17">
        <v>816.19899999999996</v>
      </c>
      <c r="AG17">
        <v>967.29399999999998</v>
      </c>
      <c r="AH17">
        <v>726.36300000000006</v>
      </c>
      <c r="AK17">
        <v>398.78699999999998</v>
      </c>
      <c r="AL17">
        <v>406.048</v>
      </c>
      <c r="AM17">
        <v>825.99300000000005</v>
      </c>
      <c r="AN17">
        <v>1059.95</v>
      </c>
      <c r="AO17">
        <v>759.42100000000005</v>
      </c>
    </row>
    <row r="18" spans="1:41">
      <c r="A18">
        <v>16</v>
      </c>
      <c r="B18">
        <v>582.11199999999997</v>
      </c>
      <c r="C18">
        <v>0.61019599999999996</v>
      </c>
      <c r="D18" s="1">
        <v>0.59511700000000001</v>
      </c>
      <c r="E18" s="1">
        <v>0.62041599999999997</v>
      </c>
      <c r="F18" s="1">
        <v>0.60511700000000002</v>
      </c>
      <c r="I18">
        <v>632.45799999999997</v>
      </c>
      <c r="J18" s="1">
        <v>0.63385499999999995</v>
      </c>
      <c r="K18">
        <v>0.60129500000000002</v>
      </c>
      <c r="L18">
        <v>0.60660899999999995</v>
      </c>
      <c r="M18" s="1">
        <v>0.59482999999999997</v>
      </c>
      <c r="P18">
        <v>630.72699999999998</v>
      </c>
      <c r="Q18" s="1">
        <v>0.58763900000000002</v>
      </c>
      <c r="R18">
        <v>0.58448599999999995</v>
      </c>
      <c r="S18" s="1">
        <v>0.58636299999999997</v>
      </c>
      <c r="T18" s="1">
        <v>0.60823199999999999</v>
      </c>
      <c r="U18" s="1"/>
      <c r="W18">
        <v>337.33499999999998</v>
      </c>
      <c r="X18">
        <v>325.947</v>
      </c>
      <c r="Y18">
        <v>742.48500000000001</v>
      </c>
      <c r="Z18">
        <v>1037.31</v>
      </c>
      <c r="AA18">
        <v>751.10900000000004</v>
      </c>
      <c r="AD18">
        <v>339.96600000000001</v>
      </c>
      <c r="AE18">
        <v>336.37</v>
      </c>
      <c r="AF18">
        <v>756.68399999999997</v>
      </c>
      <c r="AG18">
        <v>952.15899999999999</v>
      </c>
      <c r="AH18">
        <v>719.55600000000004</v>
      </c>
      <c r="AK18">
        <v>352.71800000000002</v>
      </c>
      <c r="AL18">
        <v>335.14499999999998</v>
      </c>
      <c r="AM18">
        <v>729.15499999999997</v>
      </c>
      <c r="AN18">
        <v>964.08399999999995</v>
      </c>
      <c r="AO18">
        <v>775.45600000000002</v>
      </c>
    </row>
    <row r="19" spans="1:41">
      <c r="A19">
        <v>17</v>
      </c>
      <c r="B19">
        <v>616.98500000000001</v>
      </c>
      <c r="C19" s="1">
        <v>0.64176900000000003</v>
      </c>
      <c r="D19" s="1">
        <v>0.64214899999999997</v>
      </c>
      <c r="E19" s="1">
        <v>0.59794700000000001</v>
      </c>
      <c r="F19">
        <v>0.62890100000000004</v>
      </c>
      <c r="I19">
        <v>664.32600000000002</v>
      </c>
      <c r="J19" s="1">
        <v>0.59301899999999996</v>
      </c>
      <c r="K19" s="1">
        <v>0.60441999999999996</v>
      </c>
      <c r="L19" s="1">
        <v>0.60109000000000001</v>
      </c>
      <c r="M19" s="1">
        <v>0.60369099999999998</v>
      </c>
      <c r="P19">
        <v>599.61800000000005</v>
      </c>
      <c r="Q19" s="1">
        <v>0.58477500000000004</v>
      </c>
      <c r="R19" s="1">
        <v>0.59663600000000006</v>
      </c>
      <c r="S19" s="1">
        <v>0.60762099999999997</v>
      </c>
      <c r="T19" s="1">
        <v>0.58293899999999998</v>
      </c>
      <c r="U19" s="1"/>
      <c r="W19">
        <v>347.98099999999999</v>
      </c>
      <c r="X19">
        <v>339.71499999999997</v>
      </c>
      <c r="Y19">
        <v>874.92700000000002</v>
      </c>
      <c r="Z19">
        <v>1468.96</v>
      </c>
      <c r="AA19">
        <v>839.98900000000003</v>
      </c>
      <c r="AD19">
        <v>334.90800000000002</v>
      </c>
      <c r="AE19">
        <v>391.36700000000002</v>
      </c>
      <c r="AF19">
        <v>733.97799999999995</v>
      </c>
      <c r="AG19">
        <v>976.98599999999999</v>
      </c>
      <c r="AH19">
        <v>740.78300000000002</v>
      </c>
      <c r="AK19">
        <v>344.65600000000001</v>
      </c>
      <c r="AL19">
        <v>353.98399999999998</v>
      </c>
      <c r="AM19">
        <v>743.053</v>
      </c>
      <c r="AN19">
        <v>951.93399999999997</v>
      </c>
      <c r="AO19">
        <v>775.42399999999998</v>
      </c>
    </row>
    <row r="20" spans="1:41">
      <c r="A20">
        <v>18</v>
      </c>
      <c r="B20">
        <v>643.68399999999997</v>
      </c>
      <c r="C20" s="1">
        <v>0.58666499999999999</v>
      </c>
      <c r="D20">
        <v>0.64670099999999997</v>
      </c>
      <c r="E20">
        <v>0.64619300000000002</v>
      </c>
      <c r="F20">
        <v>0.72293499999999999</v>
      </c>
      <c r="I20">
        <v>625.77200000000005</v>
      </c>
      <c r="J20">
        <v>0.60322600000000004</v>
      </c>
      <c r="K20" s="1">
        <v>0.60420600000000002</v>
      </c>
      <c r="L20" s="1">
        <v>0.60924100000000003</v>
      </c>
      <c r="M20" s="1">
        <v>0.63145300000000004</v>
      </c>
      <c r="P20">
        <v>584.45299999999997</v>
      </c>
      <c r="Q20" s="1">
        <v>0.58965999999999996</v>
      </c>
      <c r="R20" s="1">
        <v>0.61073200000000005</v>
      </c>
      <c r="S20" s="1">
        <v>0.58732600000000001</v>
      </c>
      <c r="T20" s="1">
        <v>0.58251299999999995</v>
      </c>
      <c r="U20" s="1"/>
      <c r="W20">
        <v>333.13400000000001</v>
      </c>
      <c r="X20">
        <v>418.60500000000002</v>
      </c>
      <c r="Y20">
        <v>869.87400000000002</v>
      </c>
      <c r="Z20">
        <v>1151.24</v>
      </c>
      <c r="AA20">
        <v>786.34</v>
      </c>
      <c r="AD20">
        <v>335.43900000000002</v>
      </c>
      <c r="AE20">
        <v>338.27600000000001</v>
      </c>
      <c r="AF20">
        <v>713.87699999999995</v>
      </c>
      <c r="AG20">
        <v>941.875</v>
      </c>
      <c r="AH20">
        <v>765.31200000000001</v>
      </c>
      <c r="AK20">
        <v>351.69</v>
      </c>
      <c r="AL20">
        <v>337.53199999999998</v>
      </c>
      <c r="AM20">
        <v>740.20899999999995</v>
      </c>
      <c r="AN20">
        <v>985.90300000000002</v>
      </c>
      <c r="AO20">
        <v>855.78800000000001</v>
      </c>
    </row>
    <row r="21" spans="1:41">
      <c r="A21">
        <v>19</v>
      </c>
      <c r="B21">
        <v>583.46100000000001</v>
      </c>
      <c r="C21" s="1">
        <v>0.601464</v>
      </c>
      <c r="D21" s="1">
        <v>0.65039599999999997</v>
      </c>
      <c r="E21" s="1">
        <v>0.62155099999999996</v>
      </c>
      <c r="F21" s="1">
        <v>0.59787900000000005</v>
      </c>
      <c r="I21">
        <v>604.66499999999996</v>
      </c>
      <c r="J21" s="1">
        <v>0.60089400000000004</v>
      </c>
      <c r="K21" s="1">
        <v>0.61195600000000006</v>
      </c>
      <c r="L21" s="1">
        <v>0.63806700000000005</v>
      </c>
      <c r="M21" s="1">
        <v>0.59376700000000004</v>
      </c>
      <c r="P21">
        <v>598.14700000000005</v>
      </c>
      <c r="Q21">
        <v>0.58794199999999996</v>
      </c>
      <c r="R21">
        <v>0.61582700000000001</v>
      </c>
      <c r="S21" s="1">
        <v>0.58645499999999995</v>
      </c>
      <c r="T21">
        <v>0.582484</v>
      </c>
      <c r="W21">
        <v>318.755</v>
      </c>
      <c r="X21">
        <v>328.10399999999998</v>
      </c>
      <c r="Y21">
        <v>749.09400000000005</v>
      </c>
      <c r="Z21">
        <v>964.90700000000004</v>
      </c>
      <c r="AA21">
        <v>794.84500000000003</v>
      </c>
      <c r="AD21">
        <v>368.91300000000001</v>
      </c>
      <c r="AE21">
        <v>364.733</v>
      </c>
      <c r="AF21">
        <v>801.66300000000001</v>
      </c>
      <c r="AG21">
        <v>1091.42</v>
      </c>
      <c r="AH21">
        <v>851.98</v>
      </c>
      <c r="AK21">
        <v>398.38200000000001</v>
      </c>
      <c r="AL21">
        <v>372.88600000000002</v>
      </c>
      <c r="AM21">
        <v>835.83600000000001</v>
      </c>
      <c r="AN21">
        <v>1064.31</v>
      </c>
      <c r="AO21">
        <v>832.029</v>
      </c>
    </row>
    <row r="22" spans="1:41">
      <c r="A22">
        <v>20</v>
      </c>
      <c r="B22">
        <v>645.27300000000002</v>
      </c>
      <c r="C22" s="1">
        <v>0.66705999999999999</v>
      </c>
      <c r="D22" s="1">
        <v>0.61904000000000003</v>
      </c>
      <c r="E22" s="1">
        <v>0.60354699999999994</v>
      </c>
      <c r="F22">
        <v>0.60782999999999998</v>
      </c>
      <c r="I22">
        <v>598.97</v>
      </c>
      <c r="J22" s="1">
        <v>0.65700199999999997</v>
      </c>
      <c r="K22">
        <v>0.66016399999999997</v>
      </c>
      <c r="L22" s="1">
        <v>0.61004899999999995</v>
      </c>
      <c r="M22" s="1">
        <v>0.60348999999999997</v>
      </c>
      <c r="P22">
        <v>581.62599999999998</v>
      </c>
      <c r="Q22">
        <v>0.60025700000000004</v>
      </c>
      <c r="R22" s="1">
        <v>0.59035300000000002</v>
      </c>
      <c r="S22" s="1">
        <v>0.58625099999999997</v>
      </c>
      <c r="T22" s="1">
        <v>0.58213800000000004</v>
      </c>
      <c r="U22" s="1"/>
      <c r="W22">
        <v>381.233</v>
      </c>
      <c r="X22">
        <v>365.65100000000001</v>
      </c>
      <c r="Y22">
        <v>819.92399999999998</v>
      </c>
      <c r="Z22">
        <v>1079.1199999999999</v>
      </c>
      <c r="AA22">
        <v>835.27700000000004</v>
      </c>
      <c r="AD22">
        <v>374.05500000000001</v>
      </c>
      <c r="AE22">
        <v>406.51</v>
      </c>
      <c r="AF22">
        <v>833.995</v>
      </c>
      <c r="AG22">
        <v>1168.76</v>
      </c>
      <c r="AH22">
        <v>817.78099999999995</v>
      </c>
      <c r="AK22">
        <v>530.16800000000001</v>
      </c>
      <c r="AL22">
        <v>432.98599999999999</v>
      </c>
      <c r="AM22">
        <v>851.27200000000005</v>
      </c>
      <c r="AN22">
        <v>1035.42</v>
      </c>
      <c r="AO22">
        <v>735.649</v>
      </c>
    </row>
    <row r="23" spans="1:41">
      <c r="J23" s="1"/>
      <c r="K23" s="1"/>
      <c r="L23" s="1"/>
      <c r="M23" s="1"/>
      <c r="Q23" s="1"/>
      <c r="R23" s="1"/>
      <c r="S23" s="1"/>
      <c r="T23" s="1"/>
      <c r="U23" s="1"/>
    </row>
    <row r="24" spans="1:41">
      <c r="J24" s="1"/>
      <c r="K24" s="1"/>
      <c r="L24" s="1"/>
      <c r="M24" s="1"/>
      <c r="Q24" s="1"/>
      <c r="R24" s="1"/>
      <c r="T24" s="1"/>
      <c r="U24" s="1"/>
    </row>
    <row r="25" spans="1:41">
      <c r="C25" s="1"/>
      <c r="E25" s="1"/>
      <c r="J25" s="1"/>
      <c r="K25" s="1"/>
      <c r="L25" s="1"/>
      <c r="M25" s="1"/>
      <c r="Q25" s="1"/>
      <c r="R25" s="1"/>
      <c r="S25" s="1"/>
      <c r="T25" s="1"/>
      <c r="U25" s="1"/>
    </row>
    <row r="26" spans="1:41">
      <c r="D26" s="1"/>
      <c r="E26" s="1"/>
      <c r="F26" s="1"/>
      <c r="J26" s="1"/>
      <c r="K26" s="1"/>
      <c r="L26" s="1"/>
      <c r="M26" s="1"/>
      <c r="Q26" s="1"/>
      <c r="R26" s="1"/>
      <c r="S26" s="1"/>
      <c r="T26" s="1"/>
      <c r="U26" s="1"/>
    </row>
    <row r="27" spans="1:41">
      <c r="C27" s="1"/>
      <c r="D27" s="1"/>
      <c r="E27" s="1"/>
      <c r="F27" s="1"/>
      <c r="Q27" s="1"/>
      <c r="R27" s="1"/>
      <c r="T27" s="1"/>
      <c r="U27" s="1"/>
    </row>
    <row r="28" spans="1:41" hidden="1">
      <c r="C28" s="1"/>
      <c r="D28" s="1"/>
      <c r="F28" s="1"/>
      <c r="Q28" s="1"/>
      <c r="R28" s="1"/>
      <c r="S28" s="1"/>
      <c r="T28" s="1"/>
      <c r="U28" s="1"/>
    </row>
    <row r="29" spans="1:41" hidden="1">
      <c r="C29" s="1"/>
      <c r="D29" s="1"/>
      <c r="E29" s="1"/>
      <c r="F29" s="1"/>
      <c r="J29" s="1"/>
      <c r="L29" s="1"/>
      <c r="M29" s="1"/>
      <c r="Q29" s="1"/>
      <c r="R29" s="1"/>
      <c r="S29" s="1"/>
    </row>
    <row r="30" spans="1:41" hidden="1">
      <c r="C30" s="1"/>
      <c r="D30" s="1"/>
      <c r="F30" s="1"/>
      <c r="J30" s="1"/>
      <c r="K30" s="1"/>
      <c r="L30" s="1"/>
      <c r="M30" s="1"/>
      <c r="Q30" s="1"/>
      <c r="R30" s="1"/>
      <c r="S30" s="1"/>
      <c r="T30" s="1"/>
      <c r="U30" s="1"/>
    </row>
    <row r="31" spans="1:41" hidden="1">
      <c r="D31" s="1"/>
      <c r="E31" s="1"/>
      <c r="F31" s="1"/>
      <c r="J31" s="1"/>
      <c r="K31" s="1"/>
      <c r="L31" s="1"/>
      <c r="M31" s="1"/>
      <c r="Q31" s="1"/>
      <c r="S31" s="1"/>
      <c r="T31" s="1"/>
      <c r="U31" s="1"/>
    </row>
    <row r="32" spans="1:41" hidden="1">
      <c r="D32" s="1"/>
      <c r="E32" s="1"/>
      <c r="J32" s="1"/>
      <c r="L32" s="1"/>
      <c r="M32" s="1"/>
      <c r="Q32" s="1"/>
      <c r="R32" s="1"/>
      <c r="S32" s="1"/>
      <c r="T32" s="1"/>
      <c r="U32" s="1"/>
    </row>
    <row r="33" spans="3:21" hidden="1">
      <c r="C33" s="1"/>
      <c r="D33" s="1"/>
      <c r="E33" s="1"/>
      <c r="F33" s="1"/>
      <c r="J33" s="1"/>
      <c r="K33" s="1"/>
      <c r="L33" s="1"/>
      <c r="Q33" s="1"/>
      <c r="R33" s="1"/>
      <c r="S33" s="1"/>
      <c r="T33" s="1"/>
      <c r="U33" s="1"/>
    </row>
    <row r="34" spans="3:21" hidden="1">
      <c r="C34" s="1"/>
      <c r="D34" s="1"/>
      <c r="E34" s="1"/>
      <c r="F34" s="1"/>
      <c r="M34" s="1"/>
      <c r="Q34" s="1"/>
      <c r="R34" s="1"/>
      <c r="S34" s="1"/>
      <c r="T34" s="1"/>
      <c r="U34" s="1"/>
    </row>
    <row r="35" spans="3:21" hidden="1">
      <c r="C35" s="1"/>
      <c r="D35" s="1"/>
      <c r="E35" s="1"/>
      <c r="F35" s="1"/>
      <c r="J35" s="1"/>
      <c r="K35" s="1"/>
      <c r="L35" s="1"/>
      <c r="M35" s="1"/>
      <c r="Q35" s="1"/>
      <c r="R35" s="1"/>
      <c r="S35" s="1"/>
      <c r="T35" s="1"/>
      <c r="U35" s="1"/>
    </row>
    <row r="36" spans="3:21" hidden="1">
      <c r="C36" s="1"/>
      <c r="E36" s="1"/>
      <c r="F36" s="1"/>
      <c r="L36" s="1"/>
      <c r="Q36" s="1"/>
      <c r="R36" s="1"/>
      <c r="S36" s="1"/>
      <c r="T36" s="1"/>
      <c r="U36" s="1"/>
    </row>
    <row r="37" spans="3:21" hidden="1">
      <c r="C37" s="1"/>
      <c r="D37" s="1"/>
      <c r="E37" s="1"/>
      <c r="F37" s="1"/>
      <c r="Q37" s="1"/>
      <c r="R37" s="1"/>
      <c r="S37" s="1"/>
      <c r="T37" s="1"/>
      <c r="U37" s="1"/>
    </row>
    <row r="38" spans="3:21" hidden="1">
      <c r="D38" s="1"/>
      <c r="F38" s="1"/>
      <c r="M38" s="1"/>
      <c r="Q38" s="1"/>
      <c r="R38" s="1"/>
      <c r="S38" s="1"/>
      <c r="T38" s="1"/>
      <c r="U38" s="1"/>
    </row>
    <row r="39" spans="3:21" hidden="1">
      <c r="C39" s="1"/>
      <c r="D39" s="1"/>
      <c r="E39" s="1"/>
      <c r="F39" s="1"/>
      <c r="K39" s="1"/>
      <c r="L39" s="1"/>
      <c r="M39" s="1"/>
      <c r="Q39" s="1"/>
      <c r="R39" s="1"/>
      <c r="S39" s="1"/>
      <c r="T39" s="1"/>
      <c r="U39" s="1"/>
    </row>
    <row r="40" spans="3:21" hidden="1">
      <c r="C40" s="1"/>
      <c r="D40" s="1"/>
      <c r="E40" s="1"/>
      <c r="F40" s="1"/>
      <c r="K40" s="1"/>
      <c r="L40" s="1"/>
      <c r="M40" s="1"/>
      <c r="R40" s="1"/>
      <c r="S40" s="1"/>
      <c r="T40" s="1"/>
      <c r="U40" s="1"/>
    </row>
    <row r="41" spans="3:21" hidden="1">
      <c r="C41" s="1"/>
      <c r="D41" s="1"/>
      <c r="E41" s="1"/>
      <c r="F41" s="1"/>
      <c r="J41" s="1"/>
      <c r="K41" s="1"/>
      <c r="L41" s="1"/>
      <c r="M41" s="1"/>
      <c r="R41" s="1"/>
      <c r="S41" s="1"/>
      <c r="T41" s="1"/>
      <c r="U41" s="1"/>
    </row>
    <row r="42" spans="3:21" hidden="1">
      <c r="C42" s="1"/>
      <c r="D42" s="1"/>
      <c r="E42" s="1"/>
      <c r="F42" s="1"/>
      <c r="J42" s="1"/>
      <c r="K42" s="1"/>
      <c r="L42" s="1"/>
      <c r="Q42" s="1"/>
      <c r="R42" s="1"/>
      <c r="S42" s="1"/>
      <c r="T42" s="1"/>
      <c r="U42" s="1"/>
    </row>
    <row r="43" spans="3:21" hidden="1">
      <c r="C43" s="1"/>
      <c r="D43" s="1"/>
      <c r="E43" s="1"/>
      <c r="F43" s="1"/>
      <c r="K43" s="1"/>
      <c r="L43" s="1"/>
      <c r="M43" s="1"/>
      <c r="R43" s="1"/>
      <c r="S43" s="1"/>
      <c r="T43" s="1"/>
      <c r="U43" s="1"/>
    </row>
    <row r="44" spans="3:21" hidden="1">
      <c r="C44" s="1"/>
      <c r="D44" s="1"/>
      <c r="E44" s="1"/>
      <c r="F44" s="1"/>
      <c r="J44" s="1"/>
      <c r="K44" s="1"/>
      <c r="L44" s="1"/>
      <c r="M44" s="1"/>
      <c r="Q44" s="1"/>
      <c r="R44" s="1"/>
      <c r="T44" s="1"/>
      <c r="U44" s="1"/>
    </row>
    <row r="45" spans="3:21" hidden="1">
      <c r="C45" s="1"/>
      <c r="D45" s="1"/>
      <c r="E45" s="1"/>
      <c r="F45" s="1"/>
      <c r="J45" s="1"/>
      <c r="K45" s="1"/>
      <c r="M45" s="1"/>
    </row>
    <row r="46" spans="3:21" hidden="1">
      <c r="C46" s="1"/>
      <c r="D46" s="1"/>
      <c r="J46" s="1"/>
      <c r="K46" s="1"/>
      <c r="M46" s="1"/>
      <c r="R46" s="1"/>
      <c r="T46" s="1"/>
      <c r="U46" s="1"/>
    </row>
    <row r="47" spans="3:21" hidden="1">
      <c r="C47" s="1"/>
      <c r="D47" s="1"/>
      <c r="E47" s="1"/>
      <c r="F47" s="1"/>
      <c r="J47" s="1"/>
      <c r="K47" s="1"/>
      <c r="L47" s="1"/>
      <c r="M47" s="1"/>
      <c r="Q47" s="1"/>
      <c r="R47" s="1"/>
      <c r="S47" s="1"/>
      <c r="T47" s="1"/>
      <c r="U47" s="1"/>
    </row>
    <row r="48" spans="3:21" hidden="1">
      <c r="C48" s="1"/>
      <c r="J48" s="1"/>
      <c r="L48" s="1"/>
      <c r="M48" s="1"/>
      <c r="Q48" s="1"/>
      <c r="R48" s="1"/>
      <c r="S48" s="1"/>
      <c r="T48" s="1"/>
      <c r="U48" s="1"/>
    </row>
    <row r="49" spans="3:21" hidden="1">
      <c r="C49" s="1"/>
      <c r="D49" s="1"/>
      <c r="E49" s="1"/>
      <c r="J49" s="1"/>
      <c r="L49" s="1"/>
      <c r="Q49" s="1"/>
      <c r="R49" s="1"/>
      <c r="S49" s="1"/>
      <c r="T49" s="1"/>
      <c r="U49" s="1"/>
    </row>
    <row r="50" spans="3:21" hidden="1">
      <c r="D50" s="1"/>
      <c r="E50" s="1"/>
      <c r="F50" s="1"/>
      <c r="J50" s="1"/>
      <c r="K50" s="1"/>
      <c r="L50" s="1"/>
      <c r="M50" s="1"/>
      <c r="Q50" s="1"/>
    </row>
    <row r="51" spans="3:21" hidden="1">
      <c r="C51" s="1"/>
      <c r="E51" s="1"/>
      <c r="F51" s="1"/>
      <c r="J51" s="1"/>
      <c r="K51" s="1"/>
      <c r="L51" s="1"/>
      <c r="Q51" s="1"/>
      <c r="R51" s="1"/>
      <c r="S51" s="1"/>
    </row>
    <row r="52" spans="3:21" hidden="1">
      <c r="C52" s="1"/>
      <c r="D52" s="1"/>
      <c r="E52" s="1"/>
      <c r="F52" s="1"/>
      <c r="J52" s="1"/>
      <c r="K52" s="1"/>
      <c r="L52" s="1"/>
      <c r="M52" s="1"/>
      <c r="R52" s="1"/>
      <c r="S52" s="1"/>
      <c r="T52" s="1"/>
      <c r="U52" s="1"/>
    </row>
    <row r="53" spans="3:21" hidden="1">
      <c r="D53" s="1"/>
      <c r="E53" s="1"/>
      <c r="F53" s="1"/>
      <c r="J53" s="1"/>
      <c r="M53" s="1"/>
      <c r="Q53" s="1"/>
      <c r="R53" s="1"/>
      <c r="S53" s="1"/>
    </row>
    <row r="54" spans="3:21" hidden="1">
      <c r="C54" s="1"/>
      <c r="D54" s="1"/>
      <c r="E54" s="1"/>
      <c r="F54" s="1"/>
      <c r="J54" s="1"/>
      <c r="K54" s="1"/>
      <c r="L54" s="1"/>
      <c r="M54" s="1"/>
      <c r="Q54" s="1"/>
      <c r="S54" s="1"/>
      <c r="T54" s="1"/>
      <c r="U54" s="1"/>
    </row>
    <row r="55" spans="3:21" hidden="1">
      <c r="E55" s="1"/>
      <c r="F55" s="1"/>
      <c r="J55" s="1"/>
      <c r="K55" s="1"/>
      <c r="L55" s="1"/>
      <c r="M55" s="1"/>
      <c r="R55" s="1"/>
      <c r="S55" s="1"/>
      <c r="T55" s="1"/>
      <c r="U55" s="1"/>
    </row>
    <row r="56" spans="3:21" hidden="1">
      <c r="C56" s="1"/>
      <c r="D56" s="1"/>
      <c r="E56" s="1"/>
      <c r="F56" s="1"/>
      <c r="J56" s="1"/>
      <c r="K56" s="1"/>
      <c r="L56" s="1"/>
      <c r="M56" s="1"/>
      <c r="Q56" s="1"/>
      <c r="R56" s="1"/>
      <c r="S56" s="1"/>
      <c r="T56" s="1"/>
      <c r="U56" s="1"/>
    </row>
    <row r="57" spans="3:21" hidden="1">
      <c r="E57" s="1"/>
      <c r="F57" s="1"/>
      <c r="J57" s="1"/>
      <c r="K57" s="1"/>
      <c r="L57" s="1"/>
      <c r="M57" s="1"/>
      <c r="Q57" s="1"/>
      <c r="R57" s="1"/>
      <c r="S57" s="1"/>
      <c r="T57" s="1"/>
      <c r="U57" s="1"/>
    </row>
    <row r="58" spans="3:21" hidden="1">
      <c r="C58" s="1"/>
      <c r="D58" s="1"/>
      <c r="E58" s="1"/>
      <c r="K58" s="1"/>
      <c r="L58" s="1"/>
      <c r="M58" s="1"/>
      <c r="Q58" s="1"/>
      <c r="R58" s="1"/>
      <c r="S58" s="1"/>
      <c r="T58" s="1"/>
      <c r="U58" s="1"/>
    </row>
    <row r="59" spans="3:21" hidden="1">
      <c r="C59" s="1"/>
      <c r="E59" s="1"/>
      <c r="F59" s="1"/>
      <c r="J59" s="1"/>
      <c r="K59" s="1"/>
      <c r="L59" s="1"/>
      <c r="Q59" s="1"/>
      <c r="R59" s="1"/>
      <c r="S59" s="1"/>
      <c r="T59" s="1"/>
      <c r="U59" s="1"/>
    </row>
    <row r="60" spans="3:21" hidden="1">
      <c r="C60" s="1"/>
      <c r="D60" s="1"/>
      <c r="F60" s="1"/>
      <c r="J60" s="1"/>
      <c r="K60" s="1"/>
      <c r="L60" s="1"/>
      <c r="M60" s="1"/>
      <c r="Q60" s="1"/>
      <c r="R60" s="1"/>
      <c r="S60" s="1"/>
      <c r="T60" s="1"/>
      <c r="U60" s="1"/>
    </row>
    <row r="61" spans="3:21" hidden="1">
      <c r="C61" s="1"/>
      <c r="E61" s="1"/>
      <c r="F61" s="1"/>
      <c r="J61" s="1"/>
      <c r="K61" s="1"/>
      <c r="L61" s="1"/>
      <c r="Q61" s="1"/>
      <c r="R61" s="1"/>
      <c r="S61" s="1"/>
      <c r="T61" s="1"/>
      <c r="U61" s="1"/>
    </row>
    <row r="62" spans="3:21" hidden="1">
      <c r="C62" s="1"/>
      <c r="D62" s="1"/>
      <c r="E62" s="1"/>
      <c r="F62" s="1"/>
      <c r="J62" s="1"/>
      <c r="K62" s="1"/>
      <c r="L62" s="1"/>
      <c r="M62" s="1"/>
      <c r="Q62" s="1"/>
      <c r="R62" s="1"/>
      <c r="T62" s="1"/>
      <c r="U62" s="1"/>
    </row>
    <row r="63" spans="3:21" hidden="1">
      <c r="C63" s="1"/>
      <c r="D63" s="1"/>
      <c r="E63" s="1"/>
      <c r="F63" s="1"/>
      <c r="J63" s="1"/>
      <c r="K63" s="1"/>
      <c r="L63" s="1"/>
      <c r="M63" s="1"/>
      <c r="Q63" s="1"/>
      <c r="R63" s="1"/>
      <c r="S63" s="1"/>
      <c r="T63" s="1"/>
      <c r="U63" s="1"/>
    </row>
    <row r="64" spans="3:21" hidden="1">
      <c r="C64" s="1"/>
      <c r="D64" s="1"/>
      <c r="E64" s="1"/>
      <c r="F64" s="1"/>
      <c r="J64" s="1"/>
      <c r="L64" s="1"/>
      <c r="M64" s="1"/>
      <c r="Q64" s="1"/>
      <c r="R64" s="1"/>
      <c r="S64" s="1"/>
      <c r="T64" s="1"/>
      <c r="U64" s="1"/>
    </row>
    <row r="65" spans="3:21" hidden="1">
      <c r="C65" s="1"/>
      <c r="D65" s="1"/>
      <c r="E65" s="1"/>
      <c r="F65" s="1"/>
      <c r="K65" s="1"/>
      <c r="L65" s="1"/>
      <c r="M65" s="1"/>
      <c r="Q65" s="1"/>
      <c r="R65" s="1"/>
      <c r="S65" s="1"/>
      <c r="T65" s="1"/>
      <c r="U65" s="1"/>
    </row>
    <row r="66" spans="3:21" hidden="1">
      <c r="C66" s="1"/>
      <c r="D66" s="1"/>
      <c r="E66" s="1"/>
      <c r="F66" s="1"/>
      <c r="J66" s="1"/>
      <c r="K66" s="1"/>
      <c r="L66" s="1"/>
      <c r="M66" s="1"/>
      <c r="Q66" s="1"/>
      <c r="R66" s="1"/>
      <c r="S66" s="1"/>
    </row>
    <row r="67" spans="3:21" hidden="1">
      <c r="C67" s="1"/>
      <c r="D67" s="1"/>
      <c r="E67" s="1"/>
      <c r="F67" s="1"/>
      <c r="K67" s="1"/>
      <c r="L67" s="1"/>
      <c r="M67" s="1"/>
      <c r="Q67" s="1"/>
      <c r="R67" s="1"/>
      <c r="S67" s="1"/>
      <c r="T67" s="1"/>
      <c r="U67" s="1"/>
    </row>
    <row r="68" spans="3:21" hidden="1">
      <c r="C68" s="1"/>
      <c r="D68" s="1"/>
      <c r="E68" s="1"/>
      <c r="F68" s="1"/>
      <c r="J68" s="1"/>
      <c r="L68" s="1"/>
      <c r="M68" s="1"/>
      <c r="Q68" s="1"/>
      <c r="R68" s="1"/>
      <c r="S68" s="1"/>
      <c r="T68" s="1"/>
      <c r="U68" s="1"/>
    </row>
    <row r="69" spans="3:21" hidden="1">
      <c r="D69" s="1"/>
      <c r="E69" s="1"/>
      <c r="F69" s="1"/>
      <c r="J69" s="1"/>
      <c r="K69" s="1"/>
      <c r="L69" s="1"/>
      <c r="M69" s="1"/>
      <c r="Q69" s="1"/>
      <c r="R69" s="1"/>
      <c r="S69" s="1"/>
      <c r="T69" s="1"/>
      <c r="U69" s="1"/>
    </row>
    <row r="70" spans="3:21" hidden="1">
      <c r="C70" s="1"/>
      <c r="D70" s="1"/>
      <c r="E70" s="1"/>
      <c r="F70" s="1"/>
      <c r="J70" s="1"/>
      <c r="K70" s="1"/>
      <c r="L70" s="1"/>
      <c r="M70" s="1"/>
      <c r="Q70" s="1"/>
      <c r="R70" s="1"/>
      <c r="S70" s="1"/>
      <c r="T70" s="1"/>
      <c r="U70" s="1"/>
    </row>
    <row r="71" spans="3:21" hidden="1">
      <c r="C71" s="1"/>
      <c r="D71" s="1"/>
      <c r="F71" s="1"/>
      <c r="J71" s="1"/>
      <c r="K71" s="1"/>
      <c r="L71" s="1"/>
      <c r="Q71" s="1"/>
      <c r="R71" s="1"/>
      <c r="S71" s="1"/>
      <c r="T71" s="1"/>
      <c r="U71" s="1"/>
    </row>
    <row r="72" spans="3:21" hidden="1">
      <c r="C72" s="1"/>
      <c r="D72" s="1"/>
      <c r="E72" s="1"/>
      <c r="F72" s="1"/>
      <c r="J72" s="1"/>
      <c r="L72" s="1"/>
      <c r="M72" s="1"/>
      <c r="Q72" s="1"/>
      <c r="R72" s="1"/>
      <c r="S72" s="1"/>
    </row>
    <row r="73" spans="3:21" hidden="1">
      <c r="C73" s="1"/>
      <c r="D73" s="1"/>
      <c r="E73" s="1"/>
      <c r="J73" s="1"/>
      <c r="K73" s="1"/>
      <c r="L73" s="1"/>
      <c r="M73" s="1"/>
      <c r="Q73" s="1"/>
      <c r="R73" s="1"/>
      <c r="S73" s="1"/>
      <c r="T73" s="1"/>
      <c r="U73" s="1"/>
    </row>
    <row r="74" spans="3:21" hidden="1">
      <c r="C74" s="1"/>
      <c r="D74" s="1"/>
      <c r="E74" s="1"/>
      <c r="F74" s="1"/>
      <c r="J74" s="1"/>
      <c r="K74" s="1"/>
      <c r="M74" s="1"/>
      <c r="Q74" s="1"/>
      <c r="R74" s="1"/>
      <c r="S74" s="1"/>
      <c r="T74" s="1"/>
      <c r="U74" s="1"/>
    </row>
    <row r="75" spans="3:21" hidden="1">
      <c r="C75" s="1"/>
      <c r="E75" s="1"/>
      <c r="F75" s="1"/>
      <c r="K75" s="1"/>
      <c r="M75" s="1"/>
      <c r="Q75" s="1"/>
      <c r="R75" s="1"/>
      <c r="S75" s="1"/>
    </row>
    <row r="76" spans="3:21" hidden="1">
      <c r="C76" s="1"/>
      <c r="D76" s="1"/>
      <c r="E76" s="1"/>
      <c r="F76" s="1"/>
      <c r="J76" s="1"/>
      <c r="K76" s="1"/>
      <c r="L76" s="1"/>
      <c r="M76" s="1"/>
      <c r="Q76" s="1"/>
      <c r="R76" s="1"/>
      <c r="S76" s="1"/>
      <c r="T76" s="1"/>
      <c r="U76" s="1"/>
    </row>
    <row r="77" spans="3:21" hidden="1">
      <c r="C77" s="1"/>
      <c r="E77" s="1"/>
      <c r="J77" s="1"/>
      <c r="L77" s="1"/>
      <c r="M77" s="1"/>
      <c r="Q77" s="1"/>
      <c r="R77" s="1"/>
      <c r="S77" s="1"/>
    </row>
    <row r="78" spans="3:21" hidden="1">
      <c r="C78" s="1"/>
      <c r="D78" s="1"/>
      <c r="E78" s="1"/>
      <c r="J78" s="1"/>
      <c r="M78" s="1"/>
      <c r="S78" s="1"/>
      <c r="T78" s="1"/>
      <c r="U78" s="1"/>
    </row>
    <row r="79" spans="3:21" hidden="1">
      <c r="C79" s="1"/>
      <c r="D79" s="1"/>
      <c r="E79" s="1"/>
      <c r="F79" s="1"/>
      <c r="J79" s="1"/>
      <c r="K79" s="1"/>
      <c r="L79" s="1"/>
      <c r="M79" s="1"/>
      <c r="Q79" s="1"/>
      <c r="S79" s="1"/>
      <c r="T79" s="1"/>
      <c r="U79" s="1"/>
    </row>
    <row r="80" spans="3:21" hidden="1">
      <c r="C80" s="1"/>
      <c r="D80" s="1"/>
      <c r="E80" s="1"/>
      <c r="F80" s="1"/>
      <c r="K80" s="1"/>
      <c r="L80" s="1"/>
      <c r="M80" s="1"/>
      <c r="Q80" s="1"/>
      <c r="R80" s="1"/>
      <c r="S80" s="1"/>
      <c r="T80" s="1"/>
      <c r="U80" s="1"/>
    </row>
    <row r="81" spans="3:21" hidden="1">
      <c r="C81" s="1"/>
      <c r="D81" s="1"/>
      <c r="E81" s="1"/>
      <c r="F81" s="1"/>
      <c r="J81" s="1"/>
      <c r="K81" s="1"/>
      <c r="L81" s="1"/>
      <c r="R81" s="1"/>
      <c r="S81" s="1"/>
      <c r="T81" s="1"/>
      <c r="U81" s="1"/>
    </row>
    <row r="82" spans="3:21" hidden="1">
      <c r="C82" s="1"/>
      <c r="D82" s="1"/>
      <c r="E82" s="1"/>
      <c r="F82" s="1"/>
      <c r="J82" s="1"/>
      <c r="K82" s="1"/>
      <c r="L82" s="1"/>
      <c r="M82" s="1"/>
      <c r="Q82" s="1"/>
      <c r="R82" s="1"/>
      <c r="S82" s="1"/>
    </row>
    <row r="83" spans="3:21" hidden="1">
      <c r="C83" s="1"/>
      <c r="D83" s="1"/>
      <c r="E83" s="1"/>
      <c r="F83" s="1"/>
      <c r="J83" s="1"/>
      <c r="L83" s="1"/>
      <c r="M83" s="1"/>
      <c r="Q83" s="1"/>
      <c r="R83" s="1"/>
      <c r="S83" s="1"/>
      <c r="T83" s="1"/>
      <c r="U83" s="1"/>
    </row>
    <row r="84" spans="3:21" hidden="1">
      <c r="C84" s="1"/>
      <c r="D84" s="1"/>
      <c r="E84" s="1"/>
      <c r="F84" s="1"/>
      <c r="J84" s="1"/>
      <c r="L84" s="1"/>
      <c r="M84" s="1"/>
      <c r="Q84" s="1"/>
      <c r="R84" s="1"/>
    </row>
    <row r="85" spans="3:21" hidden="1">
      <c r="C85" s="1"/>
      <c r="F85" s="1"/>
      <c r="K85" s="1"/>
      <c r="L85" s="1"/>
      <c r="M85" s="1"/>
      <c r="Q85" s="1"/>
      <c r="R85" s="1"/>
      <c r="T85" s="1"/>
      <c r="U85" s="1"/>
    </row>
    <row r="86" spans="3:21" hidden="1">
      <c r="C86" s="1"/>
      <c r="D86" s="1"/>
      <c r="E86" s="1"/>
      <c r="F86" s="1"/>
      <c r="J86" s="1"/>
      <c r="K86" s="1"/>
      <c r="L86" s="1"/>
      <c r="R86" s="1"/>
      <c r="T86" s="1"/>
      <c r="U86" s="1"/>
    </row>
    <row r="87" spans="3:21" hidden="1">
      <c r="C87" s="1"/>
      <c r="D87" s="1"/>
      <c r="E87" s="1"/>
      <c r="F87" s="1"/>
      <c r="L87" s="1"/>
      <c r="M87" s="1"/>
      <c r="Q87" s="1"/>
      <c r="R87" s="1"/>
      <c r="S87" s="1"/>
      <c r="T87" s="1"/>
      <c r="U87" s="1"/>
    </row>
    <row r="88" spans="3:21" hidden="1">
      <c r="C88" s="1"/>
      <c r="D88" s="1"/>
      <c r="E88" s="1"/>
      <c r="F88" s="1"/>
      <c r="J88" s="1"/>
      <c r="K88" s="1"/>
      <c r="L88" s="1"/>
      <c r="M88" s="1"/>
      <c r="Q88" s="1"/>
      <c r="R88" s="1"/>
      <c r="S88" s="1"/>
      <c r="T88" s="1"/>
      <c r="U88" s="1"/>
    </row>
    <row r="89" spans="3:21" hidden="1">
      <c r="C89" s="1"/>
      <c r="D89" s="1"/>
      <c r="E89" s="1"/>
      <c r="F89" s="1"/>
      <c r="J89" s="1"/>
      <c r="K89" s="1"/>
      <c r="L89" s="1"/>
      <c r="Q89" s="1"/>
      <c r="S89" s="1"/>
      <c r="T89" s="1"/>
      <c r="U89" s="1"/>
    </row>
    <row r="90" spans="3:21" hidden="1">
      <c r="C90" s="1"/>
      <c r="D90" s="1"/>
      <c r="E90" s="1"/>
      <c r="F90" s="1"/>
      <c r="J90" s="1"/>
      <c r="K90" s="1"/>
      <c r="L90" s="1"/>
      <c r="M90" s="1"/>
      <c r="Q90" s="1"/>
      <c r="R90" s="1"/>
      <c r="T90" s="1"/>
      <c r="U90" s="1"/>
    </row>
    <row r="91" spans="3:21" hidden="1">
      <c r="C91" s="1"/>
      <c r="D91" s="1"/>
      <c r="E91" s="1"/>
      <c r="F91" s="1"/>
      <c r="J91" s="1"/>
      <c r="K91" s="1"/>
      <c r="L91" s="1"/>
      <c r="Q91" s="1"/>
      <c r="R91" s="1"/>
      <c r="S91" s="1"/>
      <c r="T91" s="1"/>
      <c r="U91" s="1"/>
    </row>
    <row r="92" spans="3:21" hidden="1">
      <c r="C92" s="1"/>
      <c r="D92" s="1"/>
      <c r="E92" s="1"/>
      <c r="F92" s="1"/>
      <c r="J92" s="1"/>
      <c r="K92" s="1"/>
      <c r="L92" s="1"/>
      <c r="M92" s="1"/>
      <c r="Q92" s="1"/>
      <c r="R92" s="1"/>
      <c r="S92" s="1"/>
      <c r="T92" s="1"/>
      <c r="U92" s="1"/>
    </row>
    <row r="93" spans="3:21" hidden="1">
      <c r="C93" s="1"/>
      <c r="D93" s="1"/>
      <c r="J93" s="1"/>
      <c r="K93" s="1"/>
      <c r="L93" s="1"/>
      <c r="Q93" s="1"/>
      <c r="R93" s="1"/>
      <c r="S93" s="1"/>
      <c r="T93" s="1"/>
      <c r="U93" s="1"/>
    </row>
    <row r="94" spans="3:21">
      <c r="C94" s="1"/>
      <c r="D94" s="1"/>
      <c r="F94" s="1"/>
      <c r="J94" s="1"/>
      <c r="K94" s="1"/>
      <c r="L94" s="1"/>
      <c r="M94" s="1"/>
      <c r="Q94" s="1"/>
      <c r="R94" s="1"/>
    </row>
    <row r="95" spans="3:21">
      <c r="C95" s="1"/>
      <c r="D95" s="1"/>
      <c r="E95" s="1"/>
      <c r="F95" s="1"/>
      <c r="J95" s="1"/>
      <c r="K95" s="1"/>
      <c r="L95" s="1"/>
      <c r="M95" s="1"/>
      <c r="Q95" s="1"/>
      <c r="S95" s="1"/>
      <c r="T95" s="1"/>
      <c r="U95" s="1"/>
    </row>
    <row r="96" spans="3:21">
      <c r="C96" s="1"/>
      <c r="D96" s="1"/>
      <c r="E96" s="1"/>
      <c r="F96" s="1"/>
      <c r="J96" s="1"/>
      <c r="K96" s="1"/>
      <c r="L96" s="1"/>
      <c r="M96" s="1"/>
      <c r="Q96" s="1"/>
      <c r="R96" s="1"/>
      <c r="S96" s="1"/>
      <c r="T96" s="1"/>
      <c r="U96" s="1"/>
    </row>
    <row r="97" spans="1:41">
      <c r="C97" s="1"/>
      <c r="D97" s="1"/>
      <c r="E97" s="1"/>
      <c r="F97" s="1"/>
      <c r="J97" s="1"/>
      <c r="K97" s="1"/>
      <c r="L97" s="1"/>
      <c r="M97" s="1"/>
      <c r="Q97" s="1"/>
      <c r="R97" s="1"/>
      <c r="S97" s="1"/>
      <c r="T97" s="1"/>
      <c r="U97" s="1"/>
    </row>
    <row r="98" spans="1:41">
      <c r="C98" s="1"/>
      <c r="D98" s="1"/>
      <c r="E98" s="1"/>
      <c r="F98" s="1"/>
      <c r="K98" s="1"/>
      <c r="L98" s="1"/>
      <c r="M98" s="1"/>
      <c r="Q98" s="1"/>
      <c r="R98" s="1"/>
      <c r="S98" s="1"/>
      <c r="T98" s="1"/>
      <c r="U98" s="1"/>
    </row>
    <row r="99" spans="1:41">
      <c r="C99" s="1"/>
      <c r="D99" s="1"/>
      <c r="E99" s="1"/>
      <c r="F99" s="1"/>
      <c r="J99" s="1"/>
      <c r="K99" s="1"/>
      <c r="L99" s="1"/>
      <c r="Q99" s="1"/>
      <c r="R99" s="1"/>
      <c r="T99" s="1"/>
      <c r="U99" s="1"/>
    </row>
    <row r="100" spans="1:41">
      <c r="C100" s="1"/>
      <c r="D100" s="1"/>
      <c r="E100" s="1"/>
      <c r="F100" s="1"/>
      <c r="J100" s="1"/>
      <c r="K100" s="1"/>
      <c r="L100" s="1"/>
      <c r="M100" s="1"/>
      <c r="Q100" s="1"/>
      <c r="R100" s="1"/>
      <c r="S100" s="1"/>
      <c r="T100" s="1"/>
      <c r="U100" s="1"/>
    </row>
    <row r="101" spans="1:41">
      <c r="C101" s="1"/>
      <c r="D101" s="1"/>
      <c r="E101" s="1"/>
      <c r="F101" s="1"/>
      <c r="J101" s="1"/>
      <c r="K101" s="1"/>
      <c r="L101" s="1"/>
      <c r="M101" s="1"/>
      <c r="Q101" s="1"/>
      <c r="R101" s="1"/>
      <c r="S101" s="1"/>
      <c r="T101" s="1"/>
      <c r="U101" s="1"/>
    </row>
    <row r="102" spans="1:41">
      <c r="C102" s="1"/>
      <c r="D102" s="1"/>
      <c r="E102" s="1"/>
      <c r="F102" s="1"/>
      <c r="J102" s="1"/>
      <c r="K102" s="1"/>
      <c r="L102" s="1"/>
      <c r="M102" s="1"/>
      <c r="Q102" s="1"/>
      <c r="S102" s="1"/>
      <c r="T102" s="1"/>
      <c r="U102" s="1"/>
    </row>
    <row r="105" spans="1:41" ht="16" thickBot="1">
      <c r="A105" s="35" t="s">
        <v>25</v>
      </c>
      <c r="B105" s="36" t="s">
        <v>0</v>
      </c>
      <c r="C105" s="36" t="s">
        <v>1</v>
      </c>
      <c r="D105" s="37" t="s">
        <v>2</v>
      </c>
      <c r="E105" s="37" t="s">
        <v>3</v>
      </c>
      <c r="F105" s="38" t="s">
        <v>4</v>
      </c>
      <c r="G105" s="27"/>
      <c r="H105" s="35" t="s">
        <v>25</v>
      </c>
      <c r="I105" s="35" t="s">
        <v>0</v>
      </c>
      <c r="J105" s="35" t="s">
        <v>1</v>
      </c>
      <c r="K105" s="39" t="s">
        <v>2</v>
      </c>
      <c r="L105" s="39" t="s">
        <v>3</v>
      </c>
      <c r="M105" s="40" t="s">
        <v>4</v>
      </c>
      <c r="N105" s="26"/>
      <c r="O105" s="35" t="s">
        <v>25</v>
      </c>
      <c r="P105" s="35" t="s">
        <v>0</v>
      </c>
      <c r="Q105" s="35" t="s">
        <v>1</v>
      </c>
      <c r="R105" s="39" t="s">
        <v>2</v>
      </c>
      <c r="S105" s="39" t="s">
        <v>3</v>
      </c>
      <c r="T105" s="40" t="s">
        <v>4</v>
      </c>
      <c r="U105" s="26"/>
      <c r="V105" s="35" t="s">
        <v>25</v>
      </c>
      <c r="W105" s="35" t="s">
        <v>0</v>
      </c>
      <c r="X105" s="35" t="s">
        <v>1</v>
      </c>
      <c r="Y105" s="39" t="s">
        <v>2</v>
      </c>
      <c r="Z105" s="39" t="s">
        <v>3</v>
      </c>
      <c r="AA105" s="40" t="s">
        <v>4</v>
      </c>
      <c r="AB105" s="26"/>
      <c r="AC105" s="35" t="s">
        <v>25</v>
      </c>
      <c r="AD105" s="35" t="s">
        <v>0</v>
      </c>
      <c r="AE105" s="35" t="s">
        <v>1</v>
      </c>
      <c r="AF105" s="39" t="s">
        <v>2</v>
      </c>
      <c r="AG105" s="39" t="s">
        <v>3</v>
      </c>
      <c r="AH105" s="40" t="s">
        <v>4</v>
      </c>
      <c r="AI105" s="26"/>
      <c r="AJ105" s="35" t="s">
        <v>25</v>
      </c>
      <c r="AK105" s="35" t="s">
        <v>0</v>
      </c>
      <c r="AL105" s="35" t="s">
        <v>1</v>
      </c>
      <c r="AM105" s="39" t="s">
        <v>2</v>
      </c>
      <c r="AN105" s="39" t="s">
        <v>3</v>
      </c>
      <c r="AO105" s="40" t="s">
        <v>4</v>
      </c>
    </row>
    <row r="106" spans="1:41" ht="16" thickTop="1">
      <c r="A106" s="28" t="s">
        <v>8</v>
      </c>
      <c r="B106" s="29">
        <f>AVERAGE(Encrypt16x32[ECB])</f>
        <v>617.00654999999983</v>
      </c>
      <c r="C106" s="29">
        <f>AVERAGE(Encrypt16x32[CBC])</f>
        <v>0.61271089999999995</v>
      </c>
      <c r="D106" s="29">
        <f>AVERAGE(Encrypt16x32[OFB])</f>
        <v>0.62799455000000004</v>
      </c>
      <c r="E106" s="29">
        <f>AVERAGE(Encrypt16x32[CFB])</f>
        <v>0.62411895000000006</v>
      </c>
      <c r="F106" s="29">
        <f>AVERAGE(Encrypt16x32[CTR])</f>
        <v>0.62518850000000004</v>
      </c>
      <c r="G106" s="26"/>
      <c r="H106" s="28" t="s">
        <v>8</v>
      </c>
      <c r="I106" s="29">
        <f>AVERAGE(Encrypt24x32[ECB])</f>
        <v>619.62600000000009</v>
      </c>
      <c r="J106" s="29">
        <f>AVERAGE(Encrypt24x32[CBC])</f>
        <v>0.6103095500000002</v>
      </c>
      <c r="K106" s="29">
        <f>AVERAGE(Encrypt24x32[OFB])</f>
        <v>0.61422134999999989</v>
      </c>
      <c r="L106" s="29">
        <f>AVERAGE(Encrypt24x32[CFB])</f>
        <v>0.61218755000000002</v>
      </c>
      <c r="M106" s="29">
        <f>AVERAGE(Encrypt24x32[CTR])</f>
        <v>0.62648545</v>
      </c>
      <c r="N106" s="26"/>
      <c r="O106" s="28" t="s">
        <v>8</v>
      </c>
      <c r="P106" s="29">
        <f>AVERAGE(Encrypt32x32[ECB])</f>
        <v>596.92440000000011</v>
      </c>
      <c r="Q106" s="29">
        <f>AVERAGE(Encrypt32x32[CBC])</f>
        <v>0.59682445000000006</v>
      </c>
      <c r="R106" s="29">
        <f>AVERAGE(Encrypt32x32[OFB])</f>
        <v>0.60507425000000004</v>
      </c>
      <c r="S106" s="29">
        <f>AVERAGE(Encrypt32x32[CFB])</f>
        <v>0.60092460000000025</v>
      </c>
      <c r="T106" s="29">
        <f>AVERAGE(Encrypt32x32[CTR])</f>
        <v>0.59159494999999995</v>
      </c>
      <c r="U106" s="26"/>
      <c r="V106" s="28" t="s">
        <v>8</v>
      </c>
      <c r="W106" s="29">
        <f>AVERAGE(Decrypt16x32[ECB])</f>
        <v>356.60825</v>
      </c>
      <c r="X106" s="29">
        <f>AVERAGE(Decrypt16x32[CBC])</f>
        <v>359.42914999999999</v>
      </c>
      <c r="Y106" s="29">
        <f>AVERAGE(Decrypt16x32[OFB])</f>
        <v>812.27850000000001</v>
      </c>
      <c r="Z106" s="29">
        <f>AVERAGE(Decrypt16x32[CFB])</f>
        <v>1097.1685000000002</v>
      </c>
      <c r="AA106" s="29">
        <f>AVERAGE(Decrypt16x32[CTR])</f>
        <v>822.09400000000005</v>
      </c>
      <c r="AB106" s="26"/>
      <c r="AC106" s="28" t="s">
        <v>8</v>
      </c>
      <c r="AD106" s="29">
        <f>AVERAGE(Decrypt24x32[ECB])</f>
        <v>361.09315000000004</v>
      </c>
      <c r="AE106" s="29">
        <f>AVERAGE(Decrypt24x32[CBC])</f>
        <v>356.77975000000004</v>
      </c>
      <c r="AF106" s="29">
        <f>AVERAGE(Decrypt24x32[OFB])</f>
        <v>776.89655000000005</v>
      </c>
      <c r="AG106" s="29">
        <f>AVERAGE(Decrypt24x32[CFB])</f>
        <v>1048.6371000000001</v>
      </c>
      <c r="AH106" s="29">
        <f>AVERAGE(Decrypt24x32[CTR])</f>
        <v>782.63089999999988</v>
      </c>
      <c r="AI106" s="26"/>
      <c r="AJ106" s="28" t="s">
        <v>8</v>
      </c>
      <c r="AK106" s="29">
        <f>AVERAGE(Decrypt32x32[ECB])</f>
        <v>387.68029999999993</v>
      </c>
      <c r="AL106" s="29">
        <f>AVERAGE(Decrypt32x32[CBC])</f>
        <v>387.35415000000012</v>
      </c>
      <c r="AM106" s="29">
        <f>AVERAGE(Decrypt32x32[OFB])</f>
        <v>819.90020000000004</v>
      </c>
      <c r="AN106" s="29">
        <f>AVERAGE(Decrypt32x32[CFB])</f>
        <v>1066.2307000000001</v>
      </c>
      <c r="AO106" s="29">
        <f>AVERAGE(Decrypt32x32[CTR])</f>
        <v>806.37300000000016</v>
      </c>
    </row>
    <row r="107" spans="1:41">
      <c r="A107" s="30" t="s">
        <v>10</v>
      </c>
      <c r="B107" s="29">
        <f>MIN(Encrypt16x32[ECB])</f>
        <v>575.76300000000003</v>
      </c>
      <c r="C107" s="29">
        <f>MIN(Encrypt16x32[CBC])</f>
        <v>0.57288700000000004</v>
      </c>
      <c r="D107" s="29">
        <f>MIN(Encrypt16x32[OFB])</f>
        <v>0.58622600000000002</v>
      </c>
      <c r="E107" s="29">
        <f>MIN(Encrypt16x32[CFB])</f>
        <v>0.58389899999999995</v>
      </c>
      <c r="F107" s="29">
        <f>MIN(Encrypt16x32[CTR])</f>
        <v>0.57581099999999996</v>
      </c>
      <c r="G107" s="26"/>
      <c r="H107" s="31" t="s">
        <v>10</v>
      </c>
      <c r="I107" s="29">
        <f>MIN(Encrypt24x32[ECB])</f>
        <v>586.35299999999995</v>
      </c>
      <c r="J107" s="29">
        <f>MIN(Encrypt24x32[CBC])</f>
        <v>0.581708</v>
      </c>
      <c r="K107" s="29">
        <f>MIN(Encrypt24x32[OFB])</f>
        <v>0.58989499999999995</v>
      </c>
      <c r="L107" s="29">
        <f>MIN(Encrypt24x32[CFB])</f>
        <v>0.58688399999999996</v>
      </c>
      <c r="M107" s="29">
        <f>MIN(Encrypt24x32[CTR])</f>
        <v>0.57643500000000003</v>
      </c>
      <c r="N107" s="26"/>
      <c r="O107" s="31" t="s">
        <v>10</v>
      </c>
      <c r="P107" s="29">
        <f>MIN(Encrypt32x32[ECB])</f>
        <v>580.25599999999997</v>
      </c>
      <c r="Q107" s="29">
        <f>MIN(Encrypt32x32[CBC])</f>
        <v>0.580542</v>
      </c>
      <c r="R107" s="29">
        <f>MIN(Encrypt32x32[OFB])</f>
        <v>0.58398099999999997</v>
      </c>
      <c r="S107" s="29">
        <f>MIN(Encrypt32x32[CFB])</f>
        <v>0.58603700000000003</v>
      </c>
      <c r="T107" s="29">
        <f>MIN(Encrypt32x32[CTR])</f>
        <v>0.58213800000000004</v>
      </c>
      <c r="U107" s="26"/>
      <c r="V107" s="30" t="s">
        <v>10</v>
      </c>
      <c r="W107" s="29">
        <f>MIN(Decrypt16x32[ECB])</f>
        <v>318.755</v>
      </c>
      <c r="X107" s="29">
        <f>MIN(Decrypt16x32[CBC])</f>
        <v>317.15300000000002</v>
      </c>
      <c r="Y107" s="29">
        <f>MIN(Decrypt16x32[OFB])</f>
        <v>710.39</v>
      </c>
      <c r="Z107" s="29">
        <f>MIN(Decrypt16x32[CFB])</f>
        <v>948.50400000000002</v>
      </c>
      <c r="AA107" s="29">
        <f>MIN(Decrypt16x32[CTR])</f>
        <v>733.077</v>
      </c>
      <c r="AB107" s="26"/>
      <c r="AC107" s="31" t="s">
        <v>10</v>
      </c>
      <c r="AD107" s="29">
        <f>MIN(Decrypt24x32[ECB])</f>
        <v>332.827</v>
      </c>
      <c r="AE107" s="29">
        <f>MIN(Decrypt24x32[CBC])</f>
        <v>323.90300000000002</v>
      </c>
      <c r="AF107" s="29">
        <f>MIN(Decrypt24x32[OFB])</f>
        <v>713.87699999999995</v>
      </c>
      <c r="AG107" s="29">
        <f>MIN(Decrypt24x32[CFB])</f>
        <v>941.875</v>
      </c>
      <c r="AH107" s="29">
        <f>MIN(Decrypt24x32[CTR])</f>
        <v>719.55600000000004</v>
      </c>
      <c r="AI107" s="26"/>
      <c r="AJ107" s="31" t="s">
        <v>10</v>
      </c>
      <c r="AK107" s="29">
        <f>MIN(Decrypt32x32[ECB])</f>
        <v>327.81700000000001</v>
      </c>
      <c r="AL107" s="29">
        <f>MIN(Decrypt32x32[CBC])</f>
        <v>333.76</v>
      </c>
      <c r="AM107" s="29">
        <f>MIN(Decrypt32x32[OFB])</f>
        <v>710.62099999999998</v>
      </c>
      <c r="AN107" s="29">
        <f>MIN(Decrypt32x32[CFB])</f>
        <v>928.85500000000002</v>
      </c>
      <c r="AO107" s="29">
        <f>MIN(Decrypt32x32[CTR])</f>
        <v>714.851</v>
      </c>
    </row>
    <row r="108" spans="1:41">
      <c r="A108" s="28" t="s">
        <v>11</v>
      </c>
      <c r="B108" s="29">
        <f>MAX(Encrypt16x32[ECB])</f>
        <v>693.50099999999998</v>
      </c>
      <c r="C108" s="29">
        <f>MAX(Encrypt16x32[CBC])</f>
        <v>0.72845700000000002</v>
      </c>
      <c r="D108" s="29">
        <f>MAX(Encrypt16x32[OFB])</f>
        <v>0.74222200000000005</v>
      </c>
      <c r="E108" s="29">
        <f>MAX(Encrypt16x32[CFB])</f>
        <v>0.71947000000000005</v>
      </c>
      <c r="F108" s="29">
        <f>MAX(Encrypt16x32[CTR])</f>
        <v>0.82282900000000003</v>
      </c>
      <c r="G108" s="26"/>
      <c r="H108" s="32" t="s">
        <v>11</v>
      </c>
      <c r="I108" s="29">
        <f>MAX(Encrypt24x32[ECB])</f>
        <v>664.32600000000002</v>
      </c>
      <c r="J108" s="29">
        <f>MAX(Encrypt24x32[CBC])</f>
        <v>0.65700199999999997</v>
      </c>
      <c r="K108" s="29">
        <f>MAX(Encrypt24x32[OFB])</f>
        <v>0.66607899999999998</v>
      </c>
      <c r="L108" s="29">
        <f>MAX(Encrypt24x32[CFB])</f>
        <v>0.71741100000000002</v>
      </c>
      <c r="M108" s="29">
        <f>MAX(Encrypt24x32[CTR])</f>
        <v>0.74501899999999999</v>
      </c>
      <c r="N108" s="26"/>
      <c r="O108" s="32" t="s">
        <v>11</v>
      </c>
      <c r="P108" s="29">
        <f>MAX(Encrypt32x32[ECB])</f>
        <v>630.72699999999998</v>
      </c>
      <c r="Q108" s="29">
        <f>MAX(Encrypt32x32[CBC])</f>
        <v>0.63985700000000001</v>
      </c>
      <c r="R108" s="29">
        <f>MAX(Encrypt32x32[OFB])</f>
        <v>0.74618200000000001</v>
      </c>
      <c r="S108" s="29">
        <f>MAX(Encrypt32x32[CFB])</f>
        <v>0.67068899999999998</v>
      </c>
      <c r="T108" s="29">
        <f>MAX(Encrypt32x32[CTR])</f>
        <v>0.619861</v>
      </c>
      <c r="U108" s="26"/>
      <c r="V108" s="28" t="s">
        <v>11</v>
      </c>
      <c r="W108" s="29">
        <f>MAX(Decrypt16x32[ECB])</f>
        <v>422.18099999999998</v>
      </c>
      <c r="X108" s="29">
        <f>MAX(Decrypt16x32[CBC])</f>
        <v>458.274</v>
      </c>
      <c r="Y108" s="29">
        <f>MAX(Decrypt16x32[OFB])</f>
        <v>992.85299999999995</v>
      </c>
      <c r="Z108" s="29">
        <f>MAX(Decrypt16x32[CFB])</f>
        <v>1468.96</v>
      </c>
      <c r="AA108" s="29">
        <f>MAX(Decrypt16x32[CTR])</f>
        <v>932.97500000000002</v>
      </c>
      <c r="AB108" s="26"/>
      <c r="AC108" s="32" t="s">
        <v>11</v>
      </c>
      <c r="AD108" s="29">
        <f>MAX(Decrypt24x32[ECB])</f>
        <v>416.58499999999998</v>
      </c>
      <c r="AE108" s="29">
        <f>MAX(Decrypt24x32[CBC])</f>
        <v>406.51</v>
      </c>
      <c r="AF108" s="29">
        <f>MAX(Decrypt24x32[OFB])</f>
        <v>874.63699999999994</v>
      </c>
      <c r="AG108" s="29">
        <f>MAX(Decrypt24x32[CFB])</f>
        <v>1252.43</v>
      </c>
      <c r="AH108" s="29">
        <f>MAX(Decrypt24x32[CTR])</f>
        <v>888.37</v>
      </c>
      <c r="AI108" s="26"/>
      <c r="AJ108" s="32" t="s">
        <v>11</v>
      </c>
      <c r="AK108" s="29">
        <f>MAX(Decrypt32x32[ECB])</f>
        <v>530.16800000000001</v>
      </c>
      <c r="AL108" s="29">
        <f>MAX(Decrypt32x32[CBC])</f>
        <v>506.33600000000001</v>
      </c>
      <c r="AM108" s="29">
        <f>MAX(Decrypt32x32[OFB])</f>
        <v>1094.99</v>
      </c>
      <c r="AN108" s="29">
        <f>MAX(Decrypt32x32[CFB])</f>
        <v>1367.75</v>
      </c>
      <c r="AO108" s="29">
        <f>MAX(Decrypt32x32[CTR])</f>
        <v>1025.73</v>
      </c>
    </row>
    <row r="109" spans="1:41">
      <c r="A109" s="33" t="s">
        <v>9</v>
      </c>
      <c r="B109" s="29">
        <f>MEDIAN(Encrypt16x32[ECB])</f>
        <v>615.29250000000002</v>
      </c>
      <c r="C109" s="29">
        <f>MEDIAN(Encrypt16x32[CBC])</f>
        <v>0.60290549999999998</v>
      </c>
      <c r="D109" s="29">
        <f>MEDIAN(Encrypt16x32[OFB])</f>
        <v>0.61710850000000006</v>
      </c>
      <c r="E109" s="29">
        <f>MEDIAN(Encrypt16x32[CFB])</f>
        <v>0.61833749999999998</v>
      </c>
      <c r="F109" s="29">
        <f>MEDIAN(Encrypt16x32[CTR])</f>
        <v>0.61171149999999996</v>
      </c>
      <c r="G109" s="26"/>
      <c r="H109" s="34" t="s">
        <v>9</v>
      </c>
      <c r="I109" s="29">
        <f>MEDIAN(Encrypt24x32[ECB])</f>
        <v>617.02099999999996</v>
      </c>
      <c r="J109" s="29">
        <f>MEDIAN(Encrypt24x32[CBC])</f>
        <v>0.60206000000000004</v>
      </c>
      <c r="K109" s="29">
        <f>MEDIAN(Encrypt24x32[OFB])</f>
        <v>0.60509799999999991</v>
      </c>
      <c r="L109" s="29">
        <f>MEDIAN(Encrypt24x32[CFB])</f>
        <v>0.60349950000000008</v>
      </c>
      <c r="M109" s="29">
        <f>MEDIAN(Encrypt24x32[CTR])</f>
        <v>0.60627399999999998</v>
      </c>
      <c r="N109" s="26"/>
      <c r="O109" s="34" t="s">
        <v>9</v>
      </c>
      <c r="P109" s="29">
        <f>MEDIAN(Encrypt32x32[ECB])</f>
        <v>591.19000000000005</v>
      </c>
      <c r="Q109" s="29">
        <f>MEDIAN(Encrypt32x32[CBC])</f>
        <v>0.58779049999999999</v>
      </c>
      <c r="R109" s="29">
        <f>MEDIAN(Encrypt32x32[OFB])</f>
        <v>0.5922695</v>
      </c>
      <c r="S109" s="29">
        <f>MEDIAN(Encrypt32x32[CFB])</f>
        <v>0.58867449999999999</v>
      </c>
      <c r="T109" s="29">
        <f>MEDIAN(Encrypt32x32[CTR])</f>
        <v>0.58722750000000001</v>
      </c>
      <c r="U109" s="26"/>
      <c r="V109" s="33" t="s">
        <v>9</v>
      </c>
      <c r="W109" s="29">
        <f>MEDIAN(Decrypt16x32[ECB])</f>
        <v>348.01749999999998</v>
      </c>
      <c r="X109" s="29">
        <f>MEDIAN(Decrypt16x32[CBC])</f>
        <v>344.24099999999999</v>
      </c>
      <c r="Y109" s="29">
        <f>MEDIAN(Decrypt16x32[OFB])</f>
        <v>806.49800000000005</v>
      </c>
      <c r="Z109" s="29">
        <f>MEDIAN(Decrypt16x32[CFB])</f>
        <v>1071.1999999999998</v>
      </c>
      <c r="AA109" s="29">
        <f>MEDIAN(Decrypt16x32[CTR])</f>
        <v>799.89149999999995</v>
      </c>
      <c r="AB109" s="26"/>
      <c r="AC109" s="34" t="s">
        <v>9</v>
      </c>
      <c r="AD109" s="29">
        <f>MEDIAN(Decrypt24x32[ECB])</f>
        <v>344.88800000000003</v>
      </c>
      <c r="AE109" s="29">
        <f>MEDIAN(Decrypt24x32[CBC])</f>
        <v>351.18799999999999</v>
      </c>
      <c r="AF109" s="29">
        <f>MEDIAN(Decrypt24x32[OFB])</f>
        <v>771.70849999999996</v>
      </c>
      <c r="AG109" s="29">
        <f>MEDIAN(Decrypt24x32[CFB])</f>
        <v>1029.19</v>
      </c>
      <c r="AH109" s="29">
        <f>MEDIAN(Decrypt24x32[CTR])</f>
        <v>763.60300000000007</v>
      </c>
      <c r="AI109" s="26"/>
      <c r="AJ109" s="34" t="s">
        <v>9</v>
      </c>
      <c r="AK109" s="29">
        <f>MEDIAN(Decrypt32x32[ECB])</f>
        <v>353.5795</v>
      </c>
      <c r="AL109" s="29">
        <f>MEDIAN(Decrypt32x32[CBC])</f>
        <v>364.55900000000003</v>
      </c>
      <c r="AM109" s="29">
        <f>MEDIAN(Decrypt32x32[OFB])</f>
        <v>818.62249999999995</v>
      </c>
      <c r="AN109" s="29">
        <f>MEDIAN(Decrypt32x32[CFB])</f>
        <v>1031.1199999999999</v>
      </c>
      <c r="AO109" s="29">
        <f>MEDIAN(Decrypt32x32[CTR])</f>
        <v>782.93049999999994</v>
      </c>
    </row>
  </sheetData>
  <pageMargins left="0.75" right="0.75" top="1" bottom="1" header="0.5" footer="0.5"/>
  <pageSetup paperSize="9" orientation="portrait" horizontalDpi="4294967292" verticalDpi="4294967292"/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109"/>
  <sheetViews>
    <sheetView workbookViewId="0">
      <selection activeCell="J119" sqref="J119"/>
    </sheetView>
  </sheetViews>
  <sheetFormatPr baseColWidth="10" defaultRowHeight="15" x14ac:dyDescent="0"/>
  <sheetData>
    <row r="1" spans="1:41">
      <c r="B1" t="s">
        <v>16</v>
      </c>
      <c r="I1" t="s">
        <v>17</v>
      </c>
      <c r="P1" t="s">
        <v>18</v>
      </c>
      <c r="W1" t="s">
        <v>19</v>
      </c>
      <c r="AD1" t="s">
        <v>20</v>
      </c>
      <c r="AK1" t="s">
        <v>21</v>
      </c>
    </row>
    <row r="2" spans="1:41">
      <c r="A2" t="s">
        <v>23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I2" t="s">
        <v>0</v>
      </c>
      <c r="J2" t="s">
        <v>1</v>
      </c>
      <c r="K2" t="s">
        <v>2</v>
      </c>
      <c r="L2" t="s">
        <v>3</v>
      </c>
      <c r="M2" t="s">
        <v>4</v>
      </c>
      <c r="P2" t="s">
        <v>0</v>
      </c>
      <c r="Q2" t="s">
        <v>1</v>
      </c>
      <c r="R2" t="s">
        <v>2</v>
      </c>
      <c r="S2" t="s">
        <v>3</v>
      </c>
      <c r="T2" t="s">
        <v>4</v>
      </c>
      <c r="W2" t="s">
        <v>0</v>
      </c>
      <c r="X2" t="s">
        <v>1</v>
      </c>
      <c r="Y2" t="s">
        <v>2</v>
      </c>
      <c r="Z2" t="s">
        <v>3</v>
      </c>
      <c r="AA2" t="s">
        <v>4</v>
      </c>
      <c r="AD2" t="s">
        <v>0</v>
      </c>
      <c r="AE2" t="s">
        <v>1</v>
      </c>
      <c r="AF2" t="s">
        <v>2</v>
      </c>
      <c r="AG2" t="s">
        <v>3</v>
      </c>
      <c r="AH2" t="s">
        <v>4</v>
      </c>
      <c r="AK2" t="s">
        <v>0</v>
      </c>
      <c r="AL2" t="s">
        <v>1</v>
      </c>
      <c r="AM2" t="s">
        <v>2</v>
      </c>
      <c r="AN2" t="s">
        <v>3</v>
      </c>
      <c r="AO2" t="s">
        <v>4</v>
      </c>
    </row>
    <row r="3" spans="1:41">
      <c r="A3">
        <v>1</v>
      </c>
      <c r="B3">
        <v>1225.19</v>
      </c>
      <c r="C3">
        <v>1.1774500000000001</v>
      </c>
      <c r="D3">
        <v>1.1651400000000001</v>
      </c>
      <c r="E3">
        <v>1.13819</v>
      </c>
      <c r="F3">
        <v>1.14177</v>
      </c>
      <c r="I3">
        <v>2153.2199999999998</v>
      </c>
      <c r="J3">
        <v>3.05484</v>
      </c>
      <c r="K3">
        <v>1.4913799999999999</v>
      </c>
      <c r="L3">
        <v>1.27919</v>
      </c>
      <c r="M3">
        <v>1.1827300000000001</v>
      </c>
      <c r="P3">
        <v>1351.22</v>
      </c>
      <c r="Q3">
        <v>1.2831399999999999</v>
      </c>
      <c r="R3">
        <v>1.3989</v>
      </c>
      <c r="S3">
        <v>1.41872</v>
      </c>
      <c r="T3">
        <v>1.4648000000000001</v>
      </c>
      <c r="W3">
        <v>649.44600000000003</v>
      </c>
      <c r="X3">
        <v>654.41999999999996</v>
      </c>
      <c r="Y3">
        <v>1644.76</v>
      </c>
      <c r="Z3">
        <v>1788.65</v>
      </c>
      <c r="AA3">
        <v>1708.93</v>
      </c>
      <c r="AD3">
        <v>850.10699999999997</v>
      </c>
      <c r="AE3">
        <v>869.00699999999995</v>
      </c>
      <c r="AF3">
        <v>2011.07</v>
      </c>
      <c r="AG3">
        <v>1711.42</v>
      </c>
      <c r="AH3">
        <v>1497.55</v>
      </c>
      <c r="AK3">
        <v>1444.69</v>
      </c>
      <c r="AL3">
        <v>1115.42</v>
      </c>
      <c r="AM3">
        <v>2259.91</v>
      </c>
      <c r="AN3">
        <v>1913.01</v>
      </c>
      <c r="AO3">
        <v>1883.55</v>
      </c>
    </row>
    <row r="4" spans="1:41">
      <c r="A4">
        <v>2</v>
      </c>
      <c r="B4">
        <v>1416.37</v>
      </c>
      <c r="C4">
        <v>1.3730800000000001</v>
      </c>
      <c r="D4">
        <v>1.33633</v>
      </c>
      <c r="E4">
        <v>1.2099800000000001</v>
      </c>
      <c r="F4">
        <v>1.16632</v>
      </c>
      <c r="I4">
        <v>1188.31</v>
      </c>
      <c r="J4">
        <v>1.2526200000000001</v>
      </c>
      <c r="K4">
        <v>1.58406</v>
      </c>
      <c r="L4">
        <v>1.45329</v>
      </c>
      <c r="M4">
        <v>1.43624</v>
      </c>
      <c r="P4">
        <v>1796.32</v>
      </c>
      <c r="Q4">
        <v>1.30776</v>
      </c>
      <c r="R4">
        <v>1.4798800000000001</v>
      </c>
      <c r="S4">
        <v>1.6848399999999999</v>
      </c>
      <c r="T4">
        <v>1.6106199999999999</v>
      </c>
      <c r="W4">
        <v>1155.93</v>
      </c>
      <c r="X4">
        <v>682.43100000000004</v>
      </c>
      <c r="Y4">
        <v>1631.41</v>
      </c>
      <c r="Z4">
        <v>1506.99</v>
      </c>
      <c r="AA4">
        <v>1598.83</v>
      </c>
      <c r="AD4">
        <v>728.69100000000003</v>
      </c>
      <c r="AE4">
        <v>787.38900000000001</v>
      </c>
      <c r="AF4">
        <v>1860.08</v>
      </c>
      <c r="AG4">
        <v>2432.7800000000002</v>
      </c>
      <c r="AH4">
        <v>2310.16</v>
      </c>
      <c r="AK4">
        <v>945.44600000000003</v>
      </c>
      <c r="AL4">
        <v>846.04399999999998</v>
      </c>
      <c r="AM4">
        <v>1801.91</v>
      </c>
      <c r="AN4">
        <v>2555.63</v>
      </c>
      <c r="AO4">
        <v>1880.36</v>
      </c>
    </row>
    <row r="5" spans="1:41">
      <c r="A5">
        <v>3</v>
      </c>
      <c r="B5">
        <v>1287.0999999999999</v>
      </c>
      <c r="C5">
        <v>1.1841600000000001</v>
      </c>
      <c r="D5">
        <v>1.1991099999999999</v>
      </c>
      <c r="E5">
        <v>1.1795100000000001</v>
      </c>
      <c r="F5">
        <v>1.1984399999999999</v>
      </c>
      <c r="I5">
        <v>1503.88</v>
      </c>
      <c r="J5">
        <v>1.31088</v>
      </c>
      <c r="K5">
        <v>1.34639</v>
      </c>
      <c r="L5">
        <v>1.5315700000000001</v>
      </c>
      <c r="M5">
        <v>1.6931099999999999</v>
      </c>
      <c r="P5">
        <v>1877.07</v>
      </c>
      <c r="Q5">
        <v>1.5381499999999999</v>
      </c>
      <c r="R5">
        <v>1.4095899999999999</v>
      </c>
      <c r="S5">
        <v>1.4757899999999999</v>
      </c>
      <c r="T5">
        <v>1.6162000000000001</v>
      </c>
      <c r="W5">
        <v>1758.42</v>
      </c>
      <c r="X5">
        <v>787.15300000000002</v>
      </c>
      <c r="Y5">
        <v>1663.49</v>
      </c>
      <c r="Z5">
        <v>1790.09</v>
      </c>
      <c r="AA5">
        <v>1703.48</v>
      </c>
      <c r="AD5">
        <v>1141.33</v>
      </c>
      <c r="AE5">
        <v>1098.8699999999999</v>
      </c>
      <c r="AF5">
        <v>2039.08</v>
      </c>
      <c r="AG5">
        <v>1847.19</v>
      </c>
      <c r="AH5">
        <v>2365.65</v>
      </c>
      <c r="AK5">
        <v>1142.56</v>
      </c>
      <c r="AL5">
        <v>1158.1500000000001</v>
      </c>
      <c r="AM5">
        <v>2165.9</v>
      </c>
      <c r="AN5">
        <v>2409.7199999999998</v>
      </c>
      <c r="AO5">
        <v>2301.23</v>
      </c>
    </row>
    <row r="6" spans="1:41">
      <c r="A6">
        <v>4</v>
      </c>
      <c r="B6">
        <v>1188.96</v>
      </c>
      <c r="C6">
        <v>1.18323</v>
      </c>
      <c r="D6">
        <v>1.1986699999999999</v>
      </c>
      <c r="E6">
        <v>1.18754</v>
      </c>
      <c r="F6">
        <v>1.1829700000000001</v>
      </c>
      <c r="I6">
        <v>1547.13</v>
      </c>
      <c r="J6">
        <v>2.2690700000000001</v>
      </c>
      <c r="K6">
        <v>1.39141</v>
      </c>
      <c r="L6">
        <v>1.42926</v>
      </c>
      <c r="M6">
        <v>1.63856</v>
      </c>
      <c r="P6">
        <v>1729.35</v>
      </c>
      <c r="Q6">
        <v>1.6153500000000001</v>
      </c>
      <c r="R6">
        <v>1.4376599999999999</v>
      </c>
      <c r="S6">
        <v>1.3482099999999999</v>
      </c>
      <c r="T6">
        <v>1.3454600000000001</v>
      </c>
      <c r="W6">
        <v>1395.32</v>
      </c>
      <c r="X6">
        <v>1053.79</v>
      </c>
      <c r="Y6">
        <v>1834.49</v>
      </c>
      <c r="Z6">
        <v>1725.8</v>
      </c>
      <c r="AA6">
        <v>1649.93</v>
      </c>
      <c r="AD6">
        <v>991.59699999999998</v>
      </c>
      <c r="AE6">
        <v>1043.54</v>
      </c>
      <c r="AF6">
        <v>2372.9299999999998</v>
      </c>
      <c r="AG6">
        <v>2774.43</v>
      </c>
      <c r="AH6">
        <v>2411.3000000000002</v>
      </c>
      <c r="AK6">
        <v>1137.9000000000001</v>
      </c>
      <c r="AL6">
        <v>865.65300000000002</v>
      </c>
      <c r="AM6">
        <v>1621.6</v>
      </c>
      <c r="AN6">
        <v>1754.7</v>
      </c>
      <c r="AO6">
        <v>2079.4299999999998</v>
      </c>
    </row>
    <row r="7" spans="1:41">
      <c r="A7">
        <v>5</v>
      </c>
      <c r="B7">
        <v>1209.31</v>
      </c>
      <c r="C7">
        <v>1.19079</v>
      </c>
      <c r="D7">
        <v>1.2006300000000001</v>
      </c>
      <c r="E7">
        <v>1.1761699999999999</v>
      </c>
      <c r="F7">
        <v>1.1864699999999999</v>
      </c>
      <c r="I7">
        <v>1528.56</v>
      </c>
      <c r="J7">
        <v>1.3232299999999999</v>
      </c>
      <c r="K7">
        <v>1.7069700000000001</v>
      </c>
      <c r="L7">
        <v>1.3426100000000001</v>
      </c>
      <c r="M7">
        <v>1.33443</v>
      </c>
      <c r="P7">
        <v>1452.76</v>
      </c>
      <c r="Q7">
        <v>1.3257399999999999</v>
      </c>
      <c r="R7">
        <v>1.5479400000000001</v>
      </c>
      <c r="S7">
        <v>1.4852000000000001</v>
      </c>
      <c r="T7">
        <v>1.52389</v>
      </c>
      <c r="W7">
        <v>739.40899999999999</v>
      </c>
      <c r="X7">
        <v>711.97400000000005</v>
      </c>
      <c r="Y7">
        <v>1541.9</v>
      </c>
      <c r="Z7">
        <v>1687.56</v>
      </c>
      <c r="AA7">
        <v>1665.02</v>
      </c>
      <c r="AD7">
        <v>897.428</v>
      </c>
      <c r="AE7">
        <v>1027.24</v>
      </c>
      <c r="AF7">
        <v>2098.4899999999998</v>
      </c>
      <c r="AG7">
        <v>2240.4299999999998</v>
      </c>
      <c r="AH7">
        <v>2222.06</v>
      </c>
      <c r="AK7">
        <v>1069.3</v>
      </c>
      <c r="AL7">
        <v>1183.5899999999999</v>
      </c>
      <c r="AM7">
        <v>2317.91</v>
      </c>
      <c r="AN7">
        <v>2221.5700000000002</v>
      </c>
      <c r="AO7">
        <v>2267.12</v>
      </c>
    </row>
    <row r="8" spans="1:41">
      <c r="A8">
        <v>6</v>
      </c>
      <c r="B8">
        <v>1239.72</v>
      </c>
      <c r="C8">
        <v>1.1925699999999999</v>
      </c>
      <c r="D8">
        <v>1.22986</v>
      </c>
      <c r="E8">
        <v>1.1748000000000001</v>
      </c>
      <c r="F8">
        <v>1.17195</v>
      </c>
      <c r="I8">
        <v>1606.31</v>
      </c>
      <c r="J8">
        <v>1.32918</v>
      </c>
      <c r="K8">
        <v>1.4134199999999999</v>
      </c>
      <c r="L8">
        <v>1.4902299999999999</v>
      </c>
      <c r="M8">
        <v>1.4023399999999999</v>
      </c>
      <c r="P8">
        <v>1509.12</v>
      </c>
      <c r="Q8">
        <v>1.54497</v>
      </c>
      <c r="R8">
        <v>1.52935</v>
      </c>
      <c r="S8">
        <v>1.6613500000000001</v>
      </c>
      <c r="T8">
        <v>1.7039800000000001</v>
      </c>
      <c r="W8">
        <v>848.79899999999998</v>
      </c>
      <c r="X8">
        <v>937.49</v>
      </c>
      <c r="Y8">
        <v>1797.22</v>
      </c>
      <c r="Z8">
        <v>1791.6</v>
      </c>
      <c r="AA8">
        <v>1818.74</v>
      </c>
      <c r="AD8">
        <v>934.30700000000002</v>
      </c>
      <c r="AE8">
        <v>879.66700000000003</v>
      </c>
      <c r="AF8">
        <v>2003.87</v>
      </c>
      <c r="AG8">
        <v>2307.12</v>
      </c>
      <c r="AH8">
        <v>2073.5</v>
      </c>
      <c r="AK8">
        <v>1122.43</v>
      </c>
      <c r="AL8">
        <v>1140.83</v>
      </c>
      <c r="AM8">
        <v>2219.52</v>
      </c>
      <c r="AN8">
        <v>2143.6</v>
      </c>
      <c r="AO8">
        <v>2027.28</v>
      </c>
    </row>
    <row r="9" spans="1:41">
      <c r="A9">
        <v>7</v>
      </c>
      <c r="B9">
        <v>1171.45</v>
      </c>
      <c r="C9">
        <v>1.1995899999999999</v>
      </c>
      <c r="D9">
        <v>1.20278</v>
      </c>
      <c r="E9">
        <v>1.1946699999999999</v>
      </c>
      <c r="F9">
        <v>1.18502</v>
      </c>
      <c r="I9">
        <v>1348.39</v>
      </c>
      <c r="J9">
        <v>1.3293699999999999</v>
      </c>
      <c r="K9">
        <v>1.3482700000000001</v>
      </c>
      <c r="L9">
        <v>1.3346100000000001</v>
      </c>
      <c r="M9">
        <v>1.3738900000000001</v>
      </c>
      <c r="P9">
        <v>1886.66</v>
      </c>
      <c r="Q9">
        <v>1.96787</v>
      </c>
      <c r="R9">
        <v>1.9529300000000001</v>
      </c>
      <c r="S9">
        <v>1.82683</v>
      </c>
      <c r="T9">
        <v>1.8191600000000001</v>
      </c>
      <c r="W9">
        <v>941.274</v>
      </c>
      <c r="X9">
        <v>910.22799999999995</v>
      </c>
      <c r="Y9">
        <v>1742.27</v>
      </c>
      <c r="Z9">
        <v>1532.79</v>
      </c>
      <c r="AA9">
        <v>1526.53</v>
      </c>
      <c r="AD9">
        <v>742.89099999999996</v>
      </c>
      <c r="AE9">
        <v>836.18100000000004</v>
      </c>
      <c r="AF9">
        <v>1981.72</v>
      </c>
      <c r="AG9">
        <v>1894.99</v>
      </c>
      <c r="AH9">
        <v>1973.89</v>
      </c>
      <c r="AK9">
        <v>962.06600000000003</v>
      </c>
      <c r="AL9">
        <v>1089.96</v>
      </c>
      <c r="AM9">
        <v>2226.27</v>
      </c>
      <c r="AN9">
        <v>2033.03</v>
      </c>
      <c r="AO9">
        <v>1925.5</v>
      </c>
    </row>
    <row r="10" spans="1:41">
      <c r="A10">
        <v>8</v>
      </c>
      <c r="B10">
        <v>1192.73</v>
      </c>
      <c r="C10">
        <v>1.1956500000000001</v>
      </c>
      <c r="D10">
        <v>1.2342299999999999</v>
      </c>
      <c r="E10">
        <v>1.19746</v>
      </c>
      <c r="F10">
        <v>1.18804</v>
      </c>
      <c r="I10">
        <v>1304.71</v>
      </c>
      <c r="J10">
        <v>1.34301</v>
      </c>
      <c r="K10">
        <v>1.32605</v>
      </c>
      <c r="L10">
        <v>1.4443999999999999</v>
      </c>
      <c r="M10">
        <v>1.4337800000000001</v>
      </c>
      <c r="P10">
        <v>1821.77</v>
      </c>
      <c r="Q10">
        <v>1.93747</v>
      </c>
      <c r="R10">
        <v>1.8629599999999999</v>
      </c>
      <c r="S10">
        <v>1.7931600000000001</v>
      </c>
      <c r="T10">
        <v>1.8720000000000001</v>
      </c>
      <c r="W10">
        <v>658.71699999999998</v>
      </c>
      <c r="X10">
        <v>830.83299999999997</v>
      </c>
      <c r="Y10">
        <v>1576.41</v>
      </c>
      <c r="Z10">
        <v>1833.16</v>
      </c>
      <c r="AA10">
        <v>3076.15</v>
      </c>
      <c r="AD10">
        <v>887.67</v>
      </c>
      <c r="AE10">
        <v>949.97900000000004</v>
      </c>
      <c r="AF10">
        <v>2206.25</v>
      </c>
      <c r="AG10">
        <v>2115.42</v>
      </c>
      <c r="AH10">
        <v>1934.4</v>
      </c>
      <c r="AK10">
        <v>906.45600000000002</v>
      </c>
      <c r="AL10">
        <v>1028.29</v>
      </c>
      <c r="AM10">
        <v>2340.9499999999998</v>
      </c>
      <c r="AN10">
        <v>1900.15</v>
      </c>
      <c r="AO10">
        <v>1805.64</v>
      </c>
    </row>
    <row r="11" spans="1:41">
      <c r="A11">
        <v>9</v>
      </c>
      <c r="B11">
        <v>1217.58</v>
      </c>
      <c r="C11">
        <v>1.1961999999999999</v>
      </c>
      <c r="D11">
        <v>1.2377899999999999</v>
      </c>
      <c r="E11">
        <v>1.2513399999999999</v>
      </c>
      <c r="F11">
        <v>1.1742900000000001</v>
      </c>
      <c r="I11">
        <v>1500.27</v>
      </c>
      <c r="J11">
        <v>1.4940100000000001</v>
      </c>
      <c r="K11">
        <v>1.5573399999999999</v>
      </c>
      <c r="L11">
        <v>1.7433700000000001</v>
      </c>
      <c r="M11">
        <v>1.7598</v>
      </c>
      <c r="P11">
        <v>1534.59</v>
      </c>
      <c r="Q11">
        <v>1.7204999999999999</v>
      </c>
      <c r="R11">
        <v>1.76162</v>
      </c>
      <c r="S11">
        <v>1.5824</v>
      </c>
      <c r="T11">
        <v>1.55152</v>
      </c>
      <c r="W11">
        <v>708.57500000000005</v>
      </c>
      <c r="X11">
        <v>766.82600000000002</v>
      </c>
      <c r="Y11">
        <v>1502.28</v>
      </c>
      <c r="Z11">
        <v>1564.1</v>
      </c>
      <c r="AA11">
        <v>1502.41</v>
      </c>
      <c r="AD11">
        <v>915.221</v>
      </c>
      <c r="AE11">
        <v>1137.46</v>
      </c>
      <c r="AF11">
        <v>2396.67</v>
      </c>
      <c r="AG11">
        <v>1952.94</v>
      </c>
      <c r="AH11">
        <v>1821.45</v>
      </c>
      <c r="AK11">
        <v>758.29200000000003</v>
      </c>
      <c r="AL11">
        <v>954.04</v>
      </c>
      <c r="AM11">
        <v>1831.81</v>
      </c>
      <c r="AN11">
        <v>1791.15</v>
      </c>
      <c r="AO11">
        <v>1549.61</v>
      </c>
    </row>
    <row r="12" spans="1:41">
      <c r="A12">
        <v>10</v>
      </c>
      <c r="B12">
        <v>1178.3800000000001</v>
      </c>
      <c r="C12">
        <v>1.1953</v>
      </c>
      <c r="D12">
        <v>1.20875</v>
      </c>
      <c r="E12">
        <v>1.1882200000000001</v>
      </c>
      <c r="F12">
        <v>1.19841</v>
      </c>
      <c r="I12">
        <v>1362.23</v>
      </c>
      <c r="J12">
        <v>1.2234100000000001</v>
      </c>
      <c r="K12">
        <v>1.2158800000000001</v>
      </c>
      <c r="L12">
        <v>1.2072700000000001</v>
      </c>
      <c r="M12">
        <v>1.3157300000000001</v>
      </c>
      <c r="P12">
        <v>1568.79</v>
      </c>
      <c r="Q12">
        <v>1.5698399999999999</v>
      </c>
      <c r="R12">
        <v>1.5646100000000001</v>
      </c>
      <c r="S12">
        <v>1.5532900000000001</v>
      </c>
      <c r="T12">
        <v>1.4860899999999999</v>
      </c>
      <c r="W12">
        <v>649.83799999999997</v>
      </c>
      <c r="X12">
        <v>863.66700000000003</v>
      </c>
      <c r="Y12">
        <v>1503.59</v>
      </c>
      <c r="Z12">
        <v>1968.33</v>
      </c>
      <c r="AA12">
        <v>1827.99</v>
      </c>
      <c r="AD12">
        <v>870.375</v>
      </c>
      <c r="AE12">
        <v>868.07399999999996</v>
      </c>
      <c r="AF12">
        <v>2047.56</v>
      </c>
      <c r="AG12">
        <v>2276.12</v>
      </c>
      <c r="AH12">
        <v>1980.85</v>
      </c>
      <c r="AK12">
        <v>691.39300000000003</v>
      </c>
      <c r="AL12">
        <v>701.52300000000002</v>
      </c>
      <c r="AM12">
        <v>1523.98</v>
      </c>
      <c r="AN12">
        <v>1547.85</v>
      </c>
      <c r="AO12">
        <v>1484.15</v>
      </c>
    </row>
    <row r="13" spans="1:41">
      <c r="A13">
        <v>11</v>
      </c>
    </row>
    <row r="14" spans="1:41" hidden="1">
      <c r="A14">
        <v>12</v>
      </c>
    </row>
    <row r="15" spans="1:41" hidden="1">
      <c r="A15">
        <v>13</v>
      </c>
    </row>
    <row r="16" spans="1:41" hidden="1">
      <c r="A16">
        <v>14</v>
      </c>
    </row>
    <row r="17" spans="1:1" hidden="1">
      <c r="A17">
        <v>15</v>
      </c>
    </row>
    <row r="18" spans="1:1" hidden="1">
      <c r="A18">
        <v>16</v>
      </c>
    </row>
    <row r="19" spans="1:1" hidden="1">
      <c r="A19">
        <v>17</v>
      </c>
    </row>
    <row r="20" spans="1:1" hidden="1">
      <c r="A20">
        <v>18</v>
      </c>
    </row>
    <row r="21" spans="1:1" hidden="1">
      <c r="A21">
        <v>19</v>
      </c>
    </row>
    <row r="22" spans="1:1" hidden="1">
      <c r="A22">
        <v>20</v>
      </c>
    </row>
    <row r="23" spans="1:1" hidden="1">
      <c r="A23">
        <v>21</v>
      </c>
    </row>
    <row r="24" spans="1:1" hidden="1">
      <c r="A24">
        <v>22</v>
      </c>
    </row>
    <row r="25" spans="1:1" hidden="1">
      <c r="A25">
        <v>23</v>
      </c>
    </row>
    <row r="26" spans="1:1" hidden="1">
      <c r="A26">
        <v>24</v>
      </c>
    </row>
    <row r="27" spans="1:1" hidden="1">
      <c r="A27">
        <v>25</v>
      </c>
    </row>
    <row r="28" spans="1:1" hidden="1">
      <c r="A28">
        <v>26</v>
      </c>
    </row>
    <row r="29" spans="1:1" hidden="1">
      <c r="A29">
        <v>27</v>
      </c>
    </row>
    <row r="30" spans="1:1" hidden="1">
      <c r="A30">
        <v>28</v>
      </c>
    </row>
    <row r="31" spans="1:1" hidden="1">
      <c r="A31">
        <v>29</v>
      </c>
    </row>
    <row r="32" spans="1:1" hidden="1">
      <c r="A32">
        <v>30</v>
      </c>
    </row>
    <row r="33" spans="1:1" hidden="1">
      <c r="A33">
        <v>31</v>
      </c>
    </row>
    <row r="34" spans="1:1" hidden="1">
      <c r="A34">
        <v>32</v>
      </c>
    </row>
    <row r="35" spans="1:1" hidden="1">
      <c r="A35">
        <v>33</v>
      </c>
    </row>
    <row r="36" spans="1:1" hidden="1">
      <c r="A36">
        <v>34</v>
      </c>
    </row>
    <row r="37" spans="1:1" hidden="1">
      <c r="A37">
        <v>35</v>
      </c>
    </row>
    <row r="38" spans="1:1" hidden="1">
      <c r="A38">
        <v>36</v>
      </c>
    </row>
    <row r="39" spans="1:1" hidden="1">
      <c r="A39">
        <v>37</v>
      </c>
    </row>
    <row r="40" spans="1:1" hidden="1">
      <c r="A40">
        <v>38</v>
      </c>
    </row>
    <row r="41" spans="1:1" hidden="1">
      <c r="A41">
        <v>39</v>
      </c>
    </row>
    <row r="42" spans="1:1" hidden="1">
      <c r="A42">
        <v>40</v>
      </c>
    </row>
    <row r="43" spans="1:1" hidden="1">
      <c r="A43">
        <v>41</v>
      </c>
    </row>
    <row r="44" spans="1:1" hidden="1">
      <c r="A44">
        <v>42</v>
      </c>
    </row>
    <row r="45" spans="1:1" hidden="1">
      <c r="A45">
        <v>43</v>
      </c>
    </row>
    <row r="46" spans="1:1" hidden="1">
      <c r="A46">
        <v>44</v>
      </c>
    </row>
    <row r="47" spans="1:1" hidden="1">
      <c r="A47">
        <v>45</v>
      </c>
    </row>
    <row r="48" spans="1:1" hidden="1">
      <c r="A48">
        <v>46</v>
      </c>
    </row>
    <row r="49" spans="1:1" hidden="1">
      <c r="A49">
        <v>47</v>
      </c>
    </row>
    <row r="50" spans="1:1" hidden="1">
      <c r="A50">
        <v>48</v>
      </c>
    </row>
    <row r="51" spans="1:1" hidden="1">
      <c r="A51">
        <v>49</v>
      </c>
    </row>
    <row r="52" spans="1:1" hidden="1">
      <c r="A52">
        <v>50</v>
      </c>
    </row>
    <row r="53" spans="1:1" hidden="1">
      <c r="A53">
        <v>51</v>
      </c>
    </row>
    <row r="54" spans="1:1" hidden="1">
      <c r="A54">
        <v>52</v>
      </c>
    </row>
    <row r="55" spans="1:1" hidden="1">
      <c r="A55">
        <v>53</v>
      </c>
    </row>
    <row r="56" spans="1:1" hidden="1">
      <c r="A56">
        <v>54</v>
      </c>
    </row>
    <row r="57" spans="1:1" hidden="1">
      <c r="A57">
        <v>55</v>
      </c>
    </row>
    <row r="58" spans="1:1" hidden="1">
      <c r="A58">
        <v>56</v>
      </c>
    </row>
    <row r="59" spans="1:1" hidden="1">
      <c r="A59">
        <v>57</v>
      </c>
    </row>
    <row r="60" spans="1:1" hidden="1">
      <c r="A60">
        <v>58</v>
      </c>
    </row>
    <row r="61" spans="1:1" hidden="1">
      <c r="A61">
        <v>59</v>
      </c>
    </row>
    <row r="62" spans="1:1" hidden="1">
      <c r="A62">
        <v>60</v>
      </c>
    </row>
    <row r="63" spans="1:1" hidden="1">
      <c r="A63">
        <v>61</v>
      </c>
    </row>
    <row r="64" spans="1:1" hidden="1">
      <c r="A64">
        <v>62</v>
      </c>
    </row>
    <row r="65" spans="1:1" hidden="1">
      <c r="A65">
        <v>63</v>
      </c>
    </row>
    <row r="66" spans="1:1" hidden="1">
      <c r="A66">
        <v>64</v>
      </c>
    </row>
    <row r="67" spans="1:1" hidden="1">
      <c r="A67">
        <v>65</v>
      </c>
    </row>
    <row r="68" spans="1:1" hidden="1">
      <c r="A68">
        <v>66</v>
      </c>
    </row>
    <row r="69" spans="1:1" hidden="1">
      <c r="A69">
        <v>67</v>
      </c>
    </row>
    <row r="70" spans="1:1" hidden="1">
      <c r="A70">
        <v>68</v>
      </c>
    </row>
    <row r="71" spans="1:1" hidden="1">
      <c r="A71">
        <v>69</v>
      </c>
    </row>
    <row r="72" spans="1:1" hidden="1">
      <c r="A72">
        <v>70</v>
      </c>
    </row>
    <row r="73" spans="1:1" hidden="1">
      <c r="A73">
        <v>71</v>
      </c>
    </row>
    <row r="74" spans="1:1" hidden="1">
      <c r="A74">
        <v>72</v>
      </c>
    </row>
    <row r="75" spans="1:1" hidden="1">
      <c r="A75">
        <v>73</v>
      </c>
    </row>
    <row r="76" spans="1:1" hidden="1">
      <c r="A76">
        <v>74</v>
      </c>
    </row>
    <row r="77" spans="1:1" hidden="1">
      <c r="A77">
        <v>75</v>
      </c>
    </row>
    <row r="78" spans="1:1" hidden="1">
      <c r="A78">
        <v>76</v>
      </c>
    </row>
    <row r="79" spans="1:1" hidden="1">
      <c r="A79">
        <v>77</v>
      </c>
    </row>
    <row r="80" spans="1:1" hidden="1">
      <c r="A80">
        <v>78</v>
      </c>
    </row>
    <row r="81" spans="1:1" hidden="1">
      <c r="A81">
        <v>79</v>
      </c>
    </row>
    <row r="82" spans="1:1" hidden="1">
      <c r="A82">
        <v>80</v>
      </c>
    </row>
    <row r="83" spans="1:1" hidden="1">
      <c r="A83">
        <v>81</v>
      </c>
    </row>
    <row r="84" spans="1:1" hidden="1">
      <c r="A84">
        <v>82</v>
      </c>
    </row>
    <row r="85" spans="1:1" hidden="1">
      <c r="A85">
        <v>83</v>
      </c>
    </row>
    <row r="86" spans="1:1" hidden="1">
      <c r="A86">
        <v>84</v>
      </c>
    </row>
    <row r="87" spans="1:1" hidden="1">
      <c r="A87">
        <v>85</v>
      </c>
    </row>
    <row r="88" spans="1:1" hidden="1">
      <c r="A88">
        <v>86</v>
      </c>
    </row>
    <row r="89" spans="1:1" hidden="1">
      <c r="A89">
        <v>87</v>
      </c>
    </row>
    <row r="90" spans="1:1" hidden="1">
      <c r="A90">
        <v>88</v>
      </c>
    </row>
    <row r="91" spans="1:1" hidden="1">
      <c r="A91">
        <v>89</v>
      </c>
    </row>
    <row r="92" spans="1:1" hidden="1">
      <c r="A92">
        <v>90</v>
      </c>
    </row>
    <row r="93" spans="1:1" hidden="1">
      <c r="A93">
        <v>91</v>
      </c>
    </row>
    <row r="94" spans="1:1" hidden="1">
      <c r="A94">
        <v>92</v>
      </c>
    </row>
    <row r="95" spans="1:1" hidden="1">
      <c r="A95">
        <v>93</v>
      </c>
    </row>
    <row r="96" spans="1:1" hidden="1">
      <c r="A96">
        <v>94</v>
      </c>
    </row>
    <row r="97" spans="1:41">
      <c r="A97">
        <v>95</v>
      </c>
    </row>
    <row r="98" spans="1:41">
      <c r="A98">
        <v>96</v>
      </c>
    </row>
    <row r="99" spans="1:41">
      <c r="A99">
        <v>97</v>
      </c>
    </row>
    <row r="100" spans="1:41">
      <c r="A100">
        <v>98</v>
      </c>
    </row>
    <row r="101" spans="1:41">
      <c r="A101">
        <v>99</v>
      </c>
    </row>
    <row r="102" spans="1:41">
      <c r="A102">
        <v>100</v>
      </c>
      <c r="B102" s="17"/>
      <c r="C102" s="17"/>
      <c r="D102" s="17"/>
      <c r="E102" s="17"/>
      <c r="F102" s="17"/>
      <c r="I102" s="17"/>
      <c r="J102" s="17"/>
      <c r="K102" s="17"/>
      <c r="L102" s="17"/>
      <c r="M102" s="17"/>
      <c r="P102" s="17"/>
      <c r="Q102" s="17"/>
      <c r="R102" s="17"/>
      <c r="S102" s="17"/>
      <c r="T102" s="17"/>
      <c r="W102" s="17"/>
      <c r="X102" s="17"/>
      <c r="Y102" s="17"/>
      <c r="Z102" s="17"/>
      <c r="AA102" s="17"/>
      <c r="AD102" s="17"/>
      <c r="AE102" s="17"/>
      <c r="AF102" s="17"/>
      <c r="AG102" s="17"/>
      <c r="AH102" s="17"/>
      <c r="AI102" s="17"/>
      <c r="AK102" s="17"/>
      <c r="AL102" s="17"/>
      <c r="AM102" s="17"/>
      <c r="AN102" s="17"/>
      <c r="AO102" s="17"/>
    </row>
    <row r="105" spans="1:41" ht="16" thickBot="1">
      <c r="B105" s="2" t="s">
        <v>0</v>
      </c>
      <c r="C105" s="3" t="s">
        <v>1</v>
      </c>
      <c r="D105" s="3" t="s">
        <v>2</v>
      </c>
      <c r="E105" s="3" t="s">
        <v>3</v>
      </c>
      <c r="F105" s="4" t="s">
        <v>4</v>
      </c>
      <c r="I105" s="2" t="s">
        <v>0</v>
      </c>
      <c r="J105" s="3" t="s">
        <v>1</v>
      </c>
      <c r="K105" s="3" t="s">
        <v>2</v>
      </c>
      <c r="L105" s="3" t="s">
        <v>3</v>
      </c>
      <c r="M105" s="4" t="s">
        <v>4</v>
      </c>
      <c r="P105" s="2" t="s">
        <v>0</v>
      </c>
      <c r="Q105" s="3" t="s">
        <v>1</v>
      </c>
      <c r="R105" s="3" t="s">
        <v>2</v>
      </c>
      <c r="S105" s="3" t="s">
        <v>3</v>
      </c>
      <c r="T105" s="4" t="s">
        <v>4</v>
      </c>
      <c r="W105" s="2" t="s">
        <v>0</v>
      </c>
      <c r="X105" s="3" t="s">
        <v>1</v>
      </c>
      <c r="Y105" s="3" t="s">
        <v>2</v>
      </c>
      <c r="Z105" s="3" t="s">
        <v>3</v>
      </c>
      <c r="AA105" s="4" t="s">
        <v>4</v>
      </c>
      <c r="AD105" s="2" t="s">
        <v>0</v>
      </c>
      <c r="AE105" s="3" t="s">
        <v>1</v>
      </c>
      <c r="AF105" s="3" t="s">
        <v>2</v>
      </c>
      <c r="AG105" s="3" t="s">
        <v>3</v>
      </c>
      <c r="AH105" s="4" t="s">
        <v>4</v>
      </c>
      <c r="AK105" s="2" t="s">
        <v>0</v>
      </c>
      <c r="AL105" s="3" t="s">
        <v>1</v>
      </c>
      <c r="AM105" s="3" t="s">
        <v>2</v>
      </c>
      <c r="AN105" s="3" t="s">
        <v>3</v>
      </c>
      <c r="AO105" s="4" t="s">
        <v>4</v>
      </c>
    </row>
    <row r="106" spans="1:41" ht="16" thickTop="1">
      <c r="A106" t="s">
        <v>8</v>
      </c>
      <c r="B106">
        <f>AVERAGE(Enc16x10[ECB])</f>
        <v>1232.6790000000001</v>
      </c>
      <c r="C106">
        <f>AVERAGE(Enc16x10[CBC])</f>
        <v>1.2088019999999999</v>
      </c>
      <c r="D106">
        <f>AVERAGE(Enc16x10[OFB])</f>
        <v>1.2213290000000003</v>
      </c>
      <c r="E106">
        <f>AVERAGE(Enc16x10[CFB])</f>
        <v>1.1897879999999998</v>
      </c>
      <c r="F106">
        <f>AVERAGE(Enc16x10[CTR])</f>
        <v>1.1793679999999997</v>
      </c>
      <c r="I106">
        <f>AVERAGE(Enc24x10[ECB])</f>
        <v>1504.3009999999999</v>
      </c>
      <c r="J106">
        <f>AVERAGE(Enc24x10[CBC])</f>
        <v>1.5929619999999998</v>
      </c>
      <c r="K106">
        <f>AVERAGE(Enc24x10[OFB])</f>
        <v>1.4381170000000001</v>
      </c>
      <c r="L106">
        <f>AVERAGE(Enc24x10[CFB])</f>
        <v>1.4255800000000001</v>
      </c>
      <c r="M106">
        <f>AVERAGE(Enc24x10[CTR])</f>
        <v>1.4570609999999999</v>
      </c>
      <c r="P106">
        <f>AVERAGE(Enc32x10[ECB])</f>
        <v>1652.7650000000001</v>
      </c>
      <c r="Q106">
        <f>AVERAGE(Enc32x10[CBC])</f>
        <v>1.5810789999999997</v>
      </c>
      <c r="R106">
        <f>AVERAGE(Enc32x10[OFB])</f>
        <v>1.594544</v>
      </c>
      <c r="S106">
        <f>AVERAGE(Enc32x10[CFB])</f>
        <v>1.5829789999999999</v>
      </c>
      <c r="T106">
        <f>AVERAGE(Enc32x10[CTR])</f>
        <v>1.599372</v>
      </c>
      <c r="W106">
        <f>AVERAGE(Dec16x10[ECB])</f>
        <v>950.57279999999992</v>
      </c>
      <c r="X106">
        <f>AVERAGE(Dec16x10[CBC])</f>
        <v>819.88120000000004</v>
      </c>
      <c r="Y106">
        <f>AVERAGE(Dec16x10[OFB])</f>
        <v>1643.7819999999999</v>
      </c>
      <c r="Z106">
        <f>AVERAGE(Dec16x10[CFB])</f>
        <v>1718.9069999999999</v>
      </c>
      <c r="AA106">
        <f>AVERAGE(Dec16x10[CTR])</f>
        <v>1807.8010000000002</v>
      </c>
      <c r="AD106">
        <f>AVERAGE(DEc24x10[ECB])</f>
        <v>895.96169999999984</v>
      </c>
      <c r="AE106">
        <f>AVERAGE(DEc24x10[CBC])</f>
        <v>949.74070000000006</v>
      </c>
      <c r="AF106">
        <f>AVERAGE(DEc24x10[OFB])</f>
        <v>2101.7719999999999</v>
      </c>
      <c r="AG106">
        <f>AVERAGE(DEc24x10[CFB])</f>
        <v>2155.2840000000001</v>
      </c>
      <c r="AH106">
        <f>AVERAGE(DEc24x10[CTR])</f>
        <v>2059.0809999999997</v>
      </c>
      <c r="AK106">
        <f>AVERAGE(Dec32x10[ECB])</f>
        <v>1018.0532999999999</v>
      </c>
      <c r="AL106">
        <f>AVERAGE(Dec32x10[CBC])</f>
        <v>1008.3499999999998</v>
      </c>
      <c r="AM106">
        <f>AVERAGE(Dec32x10[OFB])</f>
        <v>2030.9760000000001</v>
      </c>
      <c r="AN106">
        <f>AVERAGE(Dec32x10[CFB])</f>
        <v>2027.0410000000004</v>
      </c>
      <c r="AO106">
        <f>AVERAGE(Dec32x10[CTR])</f>
        <v>1920.3869999999999</v>
      </c>
    </row>
    <row r="107" spans="1:41">
      <c r="A107" t="s">
        <v>10</v>
      </c>
      <c r="B107">
        <f>MIN(Enc16x10[ECB])</f>
        <v>1171.45</v>
      </c>
      <c r="C107">
        <f>MIN(Enc16x10[CBC])</f>
        <v>1.1774500000000001</v>
      </c>
      <c r="D107">
        <f>MIN(Enc16x10[OFB])</f>
        <v>1.1651400000000001</v>
      </c>
      <c r="E107">
        <f>MIN(Enc16x10[CFB])</f>
        <v>1.13819</v>
      </c>
      <c r="F107">
        <f>MIN(Enc16x10[CTR])</f>
        <v>1.14177</v>
      </c>
      <c r="I107">
        <f>MIN(Enc24x10[ECB])</f>
        <v>1188.31</v>
      </c>
      <c r="J107">
        <f>MIN(Enc24x10[CBC])</f>
        <v>1.2234100000000001</v>
      </c>
      <c r="K107">
        <f>MIN(Enc24x10[OFB])</f>
        <v>1.2158800000000001</v>
      </c>
      <c r="L107">
        <f>MIN(Enc24x10[CFB])</f>
        <v>1.2072700000000001</v>
      </c>
      <c r="M107">
        <f>MIN(Enc24x10[CTR])</f>
        <v>1.1827300000000001</v>
      </c>
      <c r="P107">
        <f>MIN(Enc32x10[ECB])</f>
        <v>1351.22</v>
      </c>
      <c r="Q107">
        <f>MIN(Enc32x10[CBC])</f>
        <v>1.2831399999999999</v>
      </c>
      <c r="R107">
        <f>MIN(Enc32x10[OFB])</f>
        <v>1.3989</v>
      </c>
      <c r="S107">
        <f>MIN(Enc32x10[CFB])</f>
        <v>1.3482099999999999</v>
      </c>
      <c r="T107">
        <f>MIN(Enc32x10[CTR])</f>
        <v>1.3454600000000001</v>
      </c>
      <c r="W107">
        <f>MIN(Dec16x10[ECB])</f>
        <v>649.44600000000003</v>
      </c>
      <c r="X107">
        <f>MIN(Dec16x10[CBC])</f>
        <v>654.41999999999996</v>
      </c>
      <c r="Y107">
        <f>MIN(Dec16x10[OFB])</f>
        <v>1502.28</v>
      </c>
      <c r="Z107">
        <f>MIN(Dec16x10[CFB])</f>
        <v>1506.99</v>
      </c>
      <c r="AA107">
        <f>MIN(Dec16x10[CTR])</f>
        <v>1502.41</v>
      </c>
      <c r="AD107">
        <f>MIN(DEc24x10[ECB])</f>
        <v>728.69100000000003</v>
      </c>
      <c r="AE107">
        <f>MIN(DEc24x10[CBC])</f>
        <v>787.38900000000001</v>
      </c>
      <c r="AF107">
        <f>MIN(DEc24x10[OFB])</f>
        <v>1860.08</v>
      </c>
      <c r="AG107">
        <f>MIN(DEc24x10[CFB])</f>
        <v>1711.42</v>
      </c>
      <c r="AH107">
        <f>MIN(DEc24x10[CTR])</f>
        <v>1497.55</v>
      </c>
      <c r="AK107">
        <f>MIN(Dec32x10[ECB])</f>
        <v>691.39300000000003</v>
      </c>
      <c r="AL107">
        <f>MIN(Dec32x10[CBC])</f>
        <v>701.52300000000002</v>
      </c>
      <c r="AM107">
        <f>MIN(Dec32x10[OFB])</f>
        <v>1523.98</v>
      </c>
      <c r="AN107">
        <f>MIN(Dec32x10[CFB])</f>
        <v>1547.85</v>
      </c>
      <c r="AO107">
        <f>MIN(Dec32x10[CTR])</f>
        <v>1484.15</v>
      </c>
    </row>
    <row r="108" spans="1:41">
      <c r="A108" t="s">
        <v>11</v>
      </c>
      <c r="B108">
        <f>MAX(Enc16x10[ECB])</f>
        <v>1416.37</v>
      </c>
      <c r="C108">
        <f>MAX(Enc16x10[CBC])</f>
        <v>1.3730800000000001</v>
      </c>
      <c r="D108">
        <f>MAX(Enc16x10[OFB])</f>
        <v>1.33633</v>
      </c>
      <c r="E108">
        <f>MAX(Enc16x10[CFB])</f>
        <v>1.2513399999999999</v>
      </c>
      <c r="F108">
        <f>MAX(Enc16x10[CTR])</f>
        <v>1.1984399999999999</v>
      </c>
      <c r="I108">
        <f>MAX(Enc24x10[ECB])</f>
        <v>2153.2199999999998</v>
      </c>
      <c r="J108">
        <f>MAX(Enc24x10[CBC])</f>
        <v>3.05484</v>
      </c>
      <c r="K108">
        <f>MAX(Enc24x10[OFB])</f>
        <v>1.7069700000000001</v>
      </c>
      <c r="L108">
        <f>MAX(Enc24x10[CFB])</f>
        <v>1.7433700000000001</v>
      </c>
      <c r="M108">
        <f>MAX(Enc24x10[CTR])</f>
        <v>1.7598</v>
      </c>
      <c r="P108">
        <f>MAX(Enc32x10[ECB])</f>
        <v>1886.66</v>
      </c>
      <c r="Q108">
        <f>MAX(Enc32x10[CBC])</f>
        <v>1.96787</v>
      </c>
      <c r="R108">
        <f>MAX(Enc32x10[OFB])</f>
        <v>1.9529300000000001</v>
      </c>
      <c r="S108">
        <f>MAX(Enc32x10[CFB])</f>
        <v>1.82683</v>
      </c>
      <c r="T108">
        <f>MAX(Enc32x10[CTR])</f>
        <v>1.8720000000000001</v>
      </c>
      <c r="W108">
        <f>MAX(Dec16x10[ECB])</f>
        <v>1758.42</v>
      </c>
      <c r="X108">
        <f>MAX(Dec16x10[CBC])</f>
        <v>1053.79</v>
      </c>
      <c r="Y108">
        <f>MAX(Dec16x10[OFB])</f>
        <v>1834.49</v>
      </c>
      <c r="Z108">
        <f>MAX(Dec16x10[CFB])</f>
        <v>1968.33</v>
      </c>
      <c r="AA108">
        <f>MAX(Dec16x10[CTR])</f>
        <v>3076.15</v>
      </c>
      <c r="AD108">
        <f>MAX(DEc24x10[ECB])</f>
        <v>1141.33</v>
      </c>
      <c r="AE108">
        <f>MAX(DEc24x10[CBC])</f>
        <v>1137.46</v>
      </c>
      <c r="AF108">
        <f>MAX(DEc24x10[OFB])</f>
        <v>2396.67</v>
      </c>
      <c r="AG108">
        <f>MAX(DEc24x10[CFB])</f>
        <v>2774.43</v>
      </c>
      <c r="AH108">
        <f>MAX(DEc24x10[CTR])</f>
        <v>2411.3000000000002</v>
      </c>
      <c r="AK108">
        <f>MAX(Dec32x10[ECB])</f>
        <v>1444.69</v>
      </c>
      <c r="AL108">
        <f>MAX(Dec32x10[CBC])</f>
        <v>1183.5899999999999</v>
      </c>
      <c r="AM108">
        <f>MAX(Dec32x10[OFB])</f>
        <v>2340.9499999999998</v>
      </c>
      <c r="AN108">
        <f>MAX(Dec32x10[CFB])</f>
        <v>2555.63</v>
      </c>
      <c r="AO108">
        <f>MAX(Dec32x10[CTR])</f>
        <v>2301.23</v>
      </c>
    </row>
    <row r="109" spans="1:41">
      <c r="A109" t="s">
        <v>9</v>
      </c>
      <c r="B109">
        <f>MEDIAN(Enc16x10[ECB])</f>
        <v>1213.4449999999999</v>
      </c>
      <c r="C109">
        <f>MEDIAN(Enc16x10[CBC])</f>
        <v>1.193935</v>
      </c>
      <c r="D109">
        <f>MEDIAN(Enc16x10[OFB])</f>
        <v>1.205765</v>
      </c>
      <c r="E109">
        <f>MEDIAN(Enc16x10[CFB])</f>
        <v>1.18788</v>
      </c>
      <c r="F109">
        <f>MEDIAN(Enc16x10[CTR])</f>
        <v>1.1839949999999999</v>
      </c>
      <c r="I109">
        <f>MEDIAN(Enc24x10[ECB])</f>
        <v>1502.075</v>
      </c>
      <c r="J109">
        <f>MEDIAN(Enc24x10[CBC])</f>
        <v>1.329275</v>
      </c>
      <c r="K109">
        <f>MEDIAN(Enc24x10[OFB])</f>
        <v>1.402415</v>
      </c>
      <c r="L109">
        <f>MEDIAN(Enc24x10[CFB])</f>
        <v>1.4368300000000001</v>
      </c>
      <c r="M109">
        <f>MEDIAN(Enc24x10[CTR])</f>
        <v>1.4180600000000001</v>
      </c>
      <c r="P109">
        <f>MEDIAN(Enc32x10[ECB])</f>
        <v>1649.07</v>
      </c>
      <c r="Q109">
        <f>MEDIAN(Enc32x10[CBC])</f>
        <v>1.5574049999999999</v>
      </c>
      <c r="R109">
        <f>MEDIAN(Enc32x10[OFB])</f>
        <v>1.538645</v>
      </c>
      <c r="S109">
        <f>MEDIAN(Enc32x10[CFB])</f>
        <v>1.5678450000000002</v>
      </c>
      <c r="T109">
        <f>MEDIAN(Enc32x10[CTR])</f>
        <v>1.58107</v>
      </c>
      <c r="W109">
        <f>MEDIAN(Dec16x10[ECB])</f>
        <v>794.10400000000004</v>
      </c>
      <c r="X109">
        <f>MEDIAN(Dec16x10[CBC])</f>
        <v>808.99299999999994</v>
      </c>
      <c r="Y109">
        <f>MEDIAN(Dec16x10[OFB])</f>
        <v>1638.085</v>
      </c>
      <c r="Z109">
        <f>MEDIAN(Dec16x10[CFB])</f>
        <v>1757.2249999999999</v>
      </c>
      <c r="AA109">
        <f>MEDIAN(Dec16x10[CTR])</f>
        <v>1684.25</v>
      </c>
      <c r="AD109">
        <f>MEDIAN(DEc24x10[ECB])</f>
        <v>892.54899999999998</v>
      </c>
      <c r="AE109">
        <f>MEDIAN(DEc24x10[CBC])</f>
        <v>914.82300000000009</v>
      </c>
      <c r="AF109">
        <f>MEDIAN(DEc24x10[OFB])</f>
        <v>2043.32</v>
      </c>
      <c r="AG109">
        <f>MEDIAN(DEc24x10[CFB])</f>
        <v>2177.9250000000002</v>
      </c>
      <c r="AH109">
        <f>MEDIAN(DEc24x10[CTR])</f>
        <v>2027.175</v>
      </c>
      <c r="AK109">
        <f>MEDIAN(Dec32x10[ECB])</f>
        <v>1015.683</v>
      </c>
      <c r="AL109">
        <f>MEDIAN(Dec32x10[CBC])</f>
        <v>1059.125</v>
      </c>
      <c r="AM109">
        <f>MEDIAN(Dec32x10[OFB])</f>
        <v>2192.71</v>
      </c>
      <c r="AN109">
        <f>MEDIAN(Dec32x10[CFB])</f>
        <v>1973.02</v>
      </c>
      <c r="AO109">
        <f>MEDIAN(Dec32x10[CTR])</f>
        <v>1904.5250000000001</v>
      </c>
    </row>
  </sheetData>
  <pageMargins left="0.75" right="0.75" top="1" bottom="1" header="0.5" footer="0.5"/>
  <pageSetup paperSize="9" orientation="portrait" horizontalDpi="4294967292" verticalDpi="4294967292"/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09"/>
  <sheetViews>
    <sheetView workbookViewId="0">
      <selection activeCell="J119" sqref="J119"/>
    </sheetView>
  </sheetViews>
  <sheetFormatPr baseColWidth="10" defaultRowHeight="15" x14ac:dyDescent="0"/>
  <sheetData>
    <row r="1" spans="2:44">
      <c r="B1" t="s">
        <v>16</v>
      </c>
      <c r="I1" t="s">
        <v>17</v>
      </c>
      <c r="P1" t="s">
        <v>18</v>
      </c>
      <c r="W1" t="s">
        <v>19</v>
      </c>
      <c r="AD1" t="s">
        <v>20</v>
      </c>
      <c r="AK1" t="s">
        <v>21</v>
      </c>
    </row>
    <row r="2" spans="2:44">
      <c r="B2" t="s">
        <v>0</v>
      </c>
      <c r="C2" t="s">
        <v>1</v>
      </c>
      <c r="D2" t="s">
        <v>2</v>
      </c>
      <c r="E2" t="s">
        <v>3</v>
      </c>
      <c r="F2" t="s">
        <v>4</v>
      </c>
      <c r="I2" t="s">
        <v>0</v>
      </c>
      <c r="J2" t="s">
        <v>1</v>
      </c>
      <c r="K2" t="s">
        <v>2</v>
      </c>
      <c r="L2" t="s">
        <v>3</v>
      </c>
      <c r="M2" t="s">
        <v>4</v>
      </c>
      <c r="P2" t="s">
        <v>0</v>
      </c>
      <c r="Q2" t="s">
        <v>1</v>
      </c>
      <c r="R2" t="s">
        <v>2</v>
      </c>
      <c r="S2" t="s">
        <v>3</v>
      </c>
      <c r="T2" t="s">
        <v>4</v>
      </c>
      <c r="W2" t="s">
        <v>0</v>
      </c>
      <c r="X2" t="s">
        <v>1</v>
      </c>
      <c r="Y2" t="s">
        <v>2</v>
      </c>
      <c r="Z2" t="s">
        <v>3</v>
      </c>
      <c r="AA2" t="s">
        <v>4</v>
      </c>
      <c r="AD2" t="s">
        <v>0</v>
      </c>
      <c r="AE2" t="s">
        <v>1</v>
      </c>
      <c r="AF2" t="s">
        <v>2</v>
      </c>
      <c r="AG2" t="s">
        <v>3</v>
      </c>
      <c r="AH2" t="s">
        <v>4</v>
      </c>
      <c r="AK2" t="s">
        <v>0</v>
      </c>
      <c r="AL2" t="s">
        <v>1</v>
      </c>
      <c r="AM2" t="s">
        <v>2</v>
      </c>
      <c r="AN2" t="s">
        <v>3</v>
      </c>
      <c r="AO2" t="s">
        <v>4</v>
      </c>
      <c r="AP2" t="s">
        <v>22</v>
      </c>
      <c r="AQ2" t="s">
        <v>5</v>
      </c>
      <c r="AR2" t="s">
        <v>6</v>
      </c>
    </row>
    <row r="3" spans="2:44">
      <c r="B3">
        <v>34180.9</v>
      </c>
      <c r="C3">
        <v>37.259599999999999</v>
      </c>
      <c r="D3">
        <v>36.408200000000001</v>
      </c>
      <c r="E3">
        <v>40.6218</v>
      </c>
      <c r="F3">
        <v>37.829799999999999</v>
      </c>
      <c r="I3">
        <v>31647.3</v>
      </c>
      <c r="J3">
        <v>30.8735</v>
      </c>
      <c r="K3">
        <v>30.977599999999999</v>
      </c>
      <c r="L3">
        <v>31.818100000000001</v>
      </c>
      <c r="M3">
        <v>30.700199999999999</v>
      </c>
      <c r="P3">
        <v>30370</v>
      </c>
      <c r="Q3">
        <v>30.8201</v>
      </c>
      <c r="R3">
        <v>30.884399999999999</v>
      </c>
      <c r="S3">
        <v>30.6877</v>
      </c>
      <c r="T3">
        <v>30.239000000000001</v>
      </c>
      <c r="W3">
        <v>22480.5</v>
      </c>
      <c r="X3">
        <v>22031.9</v>
      </c>
      <c r="Y3">
        <v>45026.5</v>
      </c>
      <c r="Z3">
        <v>51986.9</v>
      </c>
      <c r="AA3">
        <v>51647.6</v>
      </c>
      <c r="AD3">
        <v>19340.3</v>
      </c>
      <c r="AE3">
        <v>17775.8</v>
      </c>
      <c r="AF3">
        <v>36963.9</v>
      </c>
      <c r="AG3">
        <v>38902.400000000001</v>
      </c>
      <c r="AH3">
        <v>36331.800000000003</v>
      </c>
      <c r="AK3">
        <v>19476.5</v>
      </c>
      <c r="AL3">
        <v>17562.2</v>
      </c>
      <c r="AM3">
        <v>36790</v>
      </c>
      <c r="AN3">
        <v>38586.800000000003</v>
      </c>
      <c r="AO3">
        <v>36952.400000000001</v>
      </c>
    </row>
    <row r="4" spans="2:44">
      <c r="B4">
        <v>38619.699999999997</v>
      </c>
      <c r="C4">
        <v>37.276400000000002</v>
      </c>
      <c r="D4">
        <v>37.4863</v>
      </c>
      <c r="E4">
        <v>39.701000000000001</v>
      </c>
      <c r="F4">
        <v>35.6479</v>
      </c>
      <c r="I4">
        <v>31880.5</v>
      </c>
      <c r="J4">
        <v>31.681899999999999</v>
      </c>
      <c r="K4">
        <v>32.243600000000001</v>
      </c>
      <c r="L4">
        <v>30.180399999999999</v>
      </c>
      <c r="M4">
        <v>39.975099999999998</v>
      </c>
      <c r="P4">
        <v>29956.7</v>
      </c>
      <c r="Q4">
        <v>31.240500000000001</v>
      </c>
      <c r="R4">
        <v>30.174099999999999</v>
      </c>
      <c r="S4">
        <v>30.437799999999999</v>
      </c>
      <c r="T4">
        <v>30.020499999999998</v>
      </c>
      <c r="W4">
        <v>26100.5</v>
      </c>
      <c r="X4">
        <v>20951.400000000001</v>
      </c>
      <c r="Y4">
        <v>45472.6</v>
      </c>
      <c r="Z4">
        <v>48827.5</v>
      </c>
      <c r="AA4">
        <v>46616.6</v>
      </c>
      <c r="AD4">
        <v>17908.7</v>
      </c>
      <c r="AE4">
        <v>18130.5</v>
      </c>
      <c r="AF4">
        <v>39519.4</v>
      </c>
      <c r="AG4">
        <v>43966.7</v>
      </c>
      <c r="AH4">
        <v>41324.800000000003</v>
      </c>
      <c r="AK4">
        <v>17628</v>
      </c>
      <c r="AL4">
        <v>17566.900000000001</v>
      </c>
      <c r="AM4">
        <v>36217.4</v>
      </c>
      <c r="AN4">
        <v>38955.800000000003</v>
      </c>
      <c r="AO4">
        <v>37526.199999999997</v>
      </c>
    </row>
    <row r="5" spans="2:44">
      <c r="B5">
        <v>34876.199999999997</v>
      </c>
      <c r="C5">
        <v>41.776200000000003</v>
      </c>
      <c r="D5">
        <v>35.431699999999999</v>
      </c>
      <c r="E5">
        <v>34.503300000000003</v>
      </c>
      <c r="F5">
        <v>35.242699999999999</v>
      </c>
      <c r="I5">
        <v>31168.3</v>
      </c>
      <c r="J5">
        <v>30.756900000000002</v>
      </c>
      <c r="K5">
        <v>32.526499999999999</v>
      </c>
      <c r="L5">
        <v>33.586199999999998</v>
      </c>
      <c r="M5">
        <v>31.537600000000001</v>
      </c>
      <c r="P5">
        <v>30607.3</v>
      </c>
      <c r="Q5">
        <v>30.5076</v>
      </c>
      <c r="R5">
        <v>30.434999999999999</v>
      </c>
      <c r="S5">
        <v>30.493099999999998</v>
      </c>
      <c r="T5">
        <v>30.511399999999998</v>
      </c>
      <c r="W5">
        <v>30969</v>
      </c>
      <c r="X5">
        <v>24444.7</v>
      </c>
      <c r="Y5">
        <v>42664.800000000003</v>
      </c>
      <c r="Z5">
        <v>48732.3</v>
      </c>
      <c r="AA5">
        <v>48205</v>
      </c>
      <c r="AD5">
        <v>18206.599999999999</v>
      </c>
      <c r="AE5">
        <v>17695.599999999999</v>
      </c>
      <c r="AF5">
        <v>36965.1</v>
      </c>
      <c r="AG5">
        <v>38897.699999999997</v>
      </c>
      <c r="AH5">
        <v>37962</v>
      </c>
      <c r="AK5">
        <v>17824.099999999999</v>
      </c>
      <c r="AL5">
        <v>19005.900000000001</v>
      </c>
      <c r="AM5">
        <v>36684.9</v>
      </c>
      <c r="AN5">
        <v>39034.6</v>
      </c>
      <c r="AO5">
        <v>36872.199999999997</v>
      </c>
    </row>
    <row r="6" spans="2:44">
      <c r="B6">
        <v>38990</v>
      </c>
      <c r="C6">
        <v>34.3264</v>
      </c>
      <c r="D6">
        <v>35.994</v>
      </c>
      <c r="E6">
        <v>39.735300000000002</v>
      </c>
      <c r="F6">
        <v>37.459499999999998</v>
      </c>
      <c r="I6">
        <v>30702.3</v>
      </c>
      <c r="J6">
        <v>33.3994</v>
      </c>
      <c r="K6">
        <v>30.9421</v>
      </c>
      <c r="L6">
        <v>30.897600000000001</v>
      </c>
      <c r="M6">
        <v>32.404000000000003</v>
      </c>
      <c r="P6">
        <v>32149.7</v>
      </c>
      <c r="Q6">
        <v>30.665400000000002</v>
      </c>
      <c r="R6">
        <v>30.166599999999999</v>
      </c>
      <c r="S6">
        <v>31.154900000000001</v>
      </c>
      <c r="T6">
        <v>30.887599999999999</v>
      </c>
      <c r="W6">
        <v>20115</v>
      </c>
      <c r="X6">
        <v>21255.599999999999</v>
      </c>
      <c r="Y6">
        <v>45668.3</v>
      </c>
      <c r="Z6">
        <v>51340.6</v>
      </c>
      <c r="AA6">
        <v>45484</v>
      </c>
      <c r="AD6">
        <v>18244.400000000001</v>
      </c>
      <c r="AE6">
        <v>17376.900000000001</v>
      </c>
      <c r="AF6">
        <v>36366.199999999997</v>
      </c>
      <c r="AG6">
        <v>38512.9</v>
      </c>
      <c r="AH6">
        <v>39834.9</v>
      </c>
      <c r="AK6">
        <v>17056.7</v>
      </c>
      <c r="AL6">
        <v>17796.400000000001</v>
      </c>
      <c r="AM6">
        <v>36252.5</v>
      </c>
      <c r="AN6">
        <v>38498.300000000003</v>
      </c>
      <c r="AO6">
        <v>36630.1</v>
      </c>
    </row>
    <row r="7" spans="2:44">
      <c r="B7">
        <v>32920.699999999997</v>
      </c>
      <c r="C7">
        <v>33.158999999999999</v>
      </c>
      <c r="D7">
        <v>32.4285</v>
      </c>
      <c r="E7">
        <v>33.603099999999998</v>
      </c>
      <c r="F7">
        <v>34.460900000000002</v>
      </c>
      <c r="I7">
        <v>30944.9</v>
      </c>
      <c r="J7">
        <v>31.051500000000001</v>
      </c>
      <c r="K7">
        <v>30.393899999999999</v>
      </c>
      <c r="L7">
        <v>30.4511</v>
      </c>
      <c r="M7">
        <v>30.331299999999999</v>
      </c>
      <c r="P7">
        <v>31343</v>
      </c>
      <c r="Q7">
        <v>30.6343</v>
      </c>
      <c r="R7">
        <v>30.408300000000001</v>
      </c>
      <c r="S7">
        <v>30.171600000000002</v>
      </c>
      <c r="T7">
        <v>30.3278</v>
      </c>
      <c r="W7">
        <v>20648.7</v>
      </c>
      <c r="X7">
        <v>22667.5</v>
      </c>
      <c r="Y7">
        <v>49596.6</v>
      </c>
      <c r="Z7">
        <v>49620</v>
      </c>
      <c r="AA7">
        <v>45139.7</v>
      </c>
      <c r="AD7">
        <v>21713.3</v>
      </c>
      <c r="AE7">
        <v>16964.2</v>
      </c>
      <c r="AF7">
        <v>37244</v>
      </c>
      <c r="AG7">
        <v>39112.6</v>
      </c>
      <c r="AH7">
        <v>36851.599999999999</v>
      </c>
      <c r="AK7">
        <v>17204.3</v>
      </c>
      <c r="AL7">
        <v>18231.7</v>
      </c>
      <c r="AM7">
        <v>40805</v>
      </c>
      <c r="AN7">
        <v>39316.199999999997</v>
      </c>
      <c r="AO7">
        <v>39061.699999999997</v>
      </c>
    </row>
    <row r="8" spans="2:44">
      <c r="B8">
        <v>40176.699999999997</v>
      </c>
      <c r="C8">
        <v>39.505699999999997</v>
      </c>
      <c r="D8">
        <v>35.394599999999997</v>
      </c>
      <c r="E8">
        <v>37.375799999999998</v>
      </c>
      <c r="F8">
        <v>35.664700000000003</v>
      </c>
      <c r="I8">
        <v>30562</v>
      </c>
      <c r="J8">
        <v>31.400600000000001</v>
      </c>
      <c r="K8">
        <v>30.531600000000001</v>
      </c>
      <c r="L8">
        <v>30.229299999999999</v>
      </c>
      <c r="M8">
        <v>30.567699999999999</v>
      </c>
      <c r="P8">
        <v>29929.8</v>
      </c>
      <c r="Q8">
        <v>30.3749</v>
      </c>
      <c r="R8">
        <v>30.3035</v>
      </c>
      <c r="S8">
        <v>30.375900000000001</v>
      </c>
      <c r="T8">
        <v>30.362200000000001</v>
      </c>
      <c r="W8">
        <v>212627</v>
      </c>
      <c r="X8">
        <v>23335.3</v>
      </c>
      <c r="Y8">
        <v>37273.9</v>
      </c>
      <c r="Z8">
        <v>39866.5</v>
      </c>
      <c r="AA8">
        <v>39256.199999999997</v>
      </c>
      <c r="AD8">
        <v>19595.5</v>
      </c>
      <c r="AE8">
        <v>17112.3</v>
      </c>
      <c r="AF8">
        <v>39195.599999999999</v>
      </c>
      <c r="AG8">
        <v>39308.400000000001</v>
      </c>
      <c r="AH8">
        <v>38212.9</v>
      </c>
      <c r="AK8">
        <v>18539.5</v>
      </c>
      <c r="AL8">
        <v>19662.7</v>
      </c>
      <c r="AM8">
        <v>43328.2</v>
      </c>
      <c r="AN8">
        <v>42343.199999999997</v>
      </c>
      <c r="AO8">
        <v>38228.199999999997</v>
      </c>
    </row>
    <row r="9" spans="2:44">
      <c r="B9">
        <v>36834.300000000003</v>
      </c>
      <c r="C9">
        <v>39.801000000000002</v>
      </c>
      <c r="D9">
        <v>36.059899999999999</v>
      </c>
      <c r="E9">
        <v>39.606999999999999</v>
      </c>
      <c r="F9">
        <v>42.012300000000003</v>
      </c>
      <c r="I9">
        <v>30269.3</v>
      </c>
      <c r="J9">
        <v>30.5214</v>
      </c>
      <c r="K9">
        <v>30.508400000000002</v>
      </c>
      <c r="L9">
        <v>30.594100000000001</v>
      </c>
      <c r="M9">
        <v>31.2666</v>
      </c>
      <c r="P9">
        <v>30308.1</v>
      </c>
      <c r="Q9">
        <v>30.540600000000001</v>
      </c>
      <c r="R9">
        <v>30.190100000000001</v>
      </c>
      <c r="S9">
        <v>30.5261</v>
      </c>
      <c r="T9">
        <v>30.1815</v>
      </c>
      <c r="W9">
        <v>18296.2</v>
      </c>
      <c r="X9">
        <v>17765.2</v>
      </c>
      <c r="Y9">
        <v>48709</v>
      </c>
      <c r="Z9">
        <v>39546</v>
      </c>
      <c r="AA9">
        <v>37510.400000000001</v>
      </c>
      <c r="AD9">
        <v>18265</v>
      </c>
      <c r="AE9">
        <v>17379.5</v>
      </c>
      <c r="AF9">
        <v>35978.1</v>
      </c>
      <c r="AG9">
        <v>38546.199999999997</v>
      </c>
      <c r="AH9">
        <v>37782.300000000003</v>
      </c>
      <c r="AK9">
        <v>18428.7</v>
      </c>
      <c r="AL9">
        <v>18027.7</v>
      </c>
      <c r="AM9">
        <v>40793.300000000003</v>
      </c>
      <c r="AN9">
        <v>41651.300000000003</v>
      </c>
      <c r="AO9">
        <v>39653.4</v>
      </c>
    </row>
    <row r="10" spans="2:44">
      <c r="B10">
        <v>35948.400000000001</v>
      </c>
      <c r="C10">
        <v>33.776299999999999</v>
      </c>
      <c r="D10">
        <v>36.3065</v>
      </c>
      <c r="E10">
        <v>38.613799999999998</v>
      </c>
      <c r="F10">
        <v>36.764200000000002</v>
      </c>
      <c r="I10">
        <v>31891.599999999999</v>
      </c>
      <c r="J10">
        <v>32.438400000000001</v>
      </c>
      <c r="K10">
        <v>31.4068</v>
      </c>
      <c r="L10">
        <v>31.046399999999998</v>
      </c>
      <c r="M10">
        <v>31.884499999999999</v>
      </c>
      <c r="P10">
        <v>29955.9</v>
      </c>
      <c r="Q10">
        <v>30.047599999999999</v>
      </c>
      <c r="R10">
        <v>30.310199999999998</v>
      </c>
      <c r="S10">
        <v>30.217199999999998</v>
      </c>
      <c r="T10">
        <v>30.0304</v>
      </c>
      <c r="W10">
        <v>18183.2</v>
      </c>
      <c r="X10">
        <v>18207.3</v>
      </c>
      <c r="Y10">
        <v>37101.800000000003</v>
      </c>
      <c r="Z10">
        <v>39530.199999999997</v>
      </c>
      <c r="AA10">
        <v>38305.699999999997</v>
      </c>
      <c r="AD10">
        <v>18258.7</v>
      </c>
      <c r="AE10">
        <v>17423</v>
      </c>
      <c r="AF10">
        <v>36319.1</v>
      </c>
      <c r="AG10">
        <v>38132.5</v>
      </c>
      <c r="AH10">
        <v>38164.1</v>
      </c>
      <c r="AK10">
        <v>18387.400000000001</v>
      </c>
      <c r="AL10">
        <v>18667.2</v>
      </c>
      <c r="AM10">
        <v>36466.300000000003</v>
      </c>
      <c r="AN10">
        <v>39517</v>
      </c>
      <c r="AO10">
        <v>37572.6</v>
      </c>
    </row>
    <row r="11" spans="2:44">
      <c r="B11">
        <v>39409</v>
      </c>
      <c r="C11">
        <v>40.036700000000003</v>
      </c>
      <c r="D11">
        <v>37.515999999999998</v>
      </c>
      <c r="E11">
        <v>38.631599999999999</v>
      </c>
      <c r="F11">
        <v>36.582000000000001</v>
      </c>
      <c r="I11">
        <v>31277.5</v>
      </c>
      <c r="J11">
        <v>30.9725</v>
      </c>
      <c r="K11">
        <v>31.323699999999999</v>
      </c>
      <c r="L11">
        <v>30.328600000000002</v>
      </c>
      <c r="M11">
        <v>31.4573</v>
      </c>
      <c r="P11">
        <v>29912.3</v>
      </c>
      <c r="Q11">
        <v>30.2332</v>
      </c>
      <c r="R11">
        <v>30.621400000000001</v>
      </c>
      <c r="S11">
        <v>30.107800000000001</v>
      </c>
      <c r="T11">
        <v>30.4786</v>
      </c>
      <c r="W11">
        <v>18018.8</v>
      </c>
      <c r="X11">
        <v>18869.400000000001</v>
      </c>
      <c r="Y11">
        <v>37599.1</v>
      </c>
      <c r="Z11">
        <v>39484.400000000001</v>
      </c>
      <c r="AA11">
        <v>38190.9</v>
      </c>
      <c r="AD11">
        <v>18021</v>
      </c>
      <c r="AE11">
        <v>17937.3</v>
      </c>
      <c r="AF11">
        <v>37357.599999999999</v>
      </c>
      <c r="AG11">
        <v>40505.800000000003</v>
      </c>
      <c r="AH11">
        <v>37206.6</v>
      </c>
      <c r="AK11">
        <v>18329.2</v>
      </c>
      <c r="AL11">
        <v>18127</v>
      </c>
      <c r="AM11">
        <v>39476.199999999997</v>
      </c>
      <c r="AN11">
        <v>39216.9</v>
      </c>
      <c r="AO11">
        <v>39906.9</v>
      </c>
    </row>
    <row r="12" spans="2:44">
      <c r="B12">
        <v>41554</v>
      </c>
      <c r="C12">
        <v>38.028500000000001</v>
      </c>
      <c r="D12">
        <v>35.051400000000001</v>
      </c>
      <c r="E12">
        <v>39.5625</v>
      </c>
      <c r="F12">
        <v>36.272799999999997</v>
      </c>
      <c r="I12">
        <v>30318.2</v>
      </c>
      <c r="J12">
        <v>31.8142</v>
      </c>
      <c r="K12">
        <v>30.4679</v>
      </c>
      <c r="L12">
        <v>30.256599999999999</v>
      </c>
      <c r="M12">
        <v>30.563300000000002</v>
      </c>
      <c r="P12">
        <v>30062.799999999999</v>
      </c>
      <c r="Q12">
        <v>30.284199999999998</v>
      </c>
      <c r="R12">
        <v>30.082699999999999</v>
      </c>
      <c r="S12">
        <v>30.1206</v>
      </c>
      <c r="T12">
        <v>30.099699999999999</v>
      </c>
      <c r="W12">
        <v>19475.400000000001</v>
      </c>
      <c r="X12">
        <v>19347.2</v>
      </c>
      <c r="Y12">
        <v>38282.1</v>
      </c>
      <c r="Z12">
        <v>39332.1</v>
      </c>
      <c r="AA12">
        <v>37855.800000000003</v>
      </c>
      <c r="AD12">
        <v>18450</v>
      </c>
      <c r="AE12">
        <v>17704.8</v>
      </c>
      <c r="AF12">
        <v>37064.800000000003</v>
      </c>
      <c r="AG12">
        <v>38273.9</v>
      </c>
      <c r="AH12">
        <v>38845.599999999999</v>
      </c>
      <c r="AK12">
        <v>17590</v>
      </c>
      <c r="AL12">
        <v>18230</v>
      </c>
      <c r="AM12">
        <v>38048.800000000003</v>
      </c>
      <c r="AN12">
        <v>39907.4</v>
      </c>
      <c r="AO12">
        <v>37602</v>
      </c>
    </row>
    <row r="15" spans="2:44" hidden="1"/>
    <row r="16" spans="2:44" hidden="1"/>
    <row r="17" hidden="1"/>
    <row r="18" hidden="1"/>
    <row r="19" hidden="1"/>
    <row r="20" hidden="1"/>
    <row r="21" hidden="1"/>
    <row r="22" hidden="1"/>
    <row r="23" hidden="1"/>
    <row r="24" hidden="1"/>
    <row r="25" hidden="1"/>
    <row r="26" hidden="1"/>
    <row r="27" hidden="1"/>
    <row r="28" hidden="1"/>
    <row r="29" hidden="1"/>
    <row r="30" hidden="1"/>
    <row r="31" hidden="1"/>
    <row r="32" hidden="1"/>
    <row r="33" hidden="1"/>
    <row r="34" hidden="1"/>
    <row r="35" hidden="1"/>
    <row r="36" hidden="1"/>
    <row r="37" hidden="1"/>
    <row r="38" hidden="1"/>
    <row r="39" hidden="1"/>
    <row r="40" hidden="1"/>
    <row r="41" hidden="1"/>
    <row r="42" hidden="1"/>
    <row r="43" hidden="1"/>
    <row r="44" hidden="1"/>
    <row r="45" hidden="1"/>
    <row r="46" hidden="1"/>
    <row r="47" hidden="1"/>
    <row r="48" hidden="1"/>
    <row r="49" hidden="1"/>
    <row r="50" hidden="1"/>
    <row r="51" hidden="1"/>
    <row r="52" hidden="1"/>
    <row r="53" hidden="1"/>
    <row r="54" hidden="1"/>
    <row r="55" hidden="1"/>
    <row r="56" hidden="1"/>
    <row r="57" hidden="1"/>
    <row r="58" hidden="1"/>
    <row r="59" hidden="1"/>
    <row r="60" hidden="1"/>
    <row r="61" hidden="1"/>
    <row r="62" hidden="1"/>
    <row r="63" hidden="1"/>
    <row r="64" hidden="1"/>
    <row r="65" hidden="1"/>
    <row r="66" hidden="1"/>
    <row r="67" hidden="1"/>
    <row r="68" hidden="1"/>
    <row r="69" hidden="1"/>
    <row r="70" hidden="1"/>
    <row r="71" hidden="1"/>
    <row r="72" hidden="1"/>
    <row r="73" hidden="1"/>
    <row r="74" hidden="1"/>
    <row r="75" hidden="1"/>
    <row r="76" hidden="1"/>
    <row r="77" hidden="1"/>
    <row r="78" hidden="1"/>
    <row r="79" hidden="1"/>
    <row r="80" hidden="1"/>
    <row r="81" hidden="1"/>
    <row r="82" hidden="1"/>
    <row r="83" hidden="1"/>
    <row r="84" hidden="1"/>
    <row r="85" hidden="1"/>
    <row r="86" hidden="1"/>
    <row r="87" hidden="1"/>
    <row r="88" hidden="1"/>
    <row r="89" hidden="1"/>
    <row r="90" hidden="1"/>
    <row r="91" hidden="1"/>
    <row r="92" hidden="1"/>
    <row r="93" hidden="1"/>
    <row r="94" hidden="1"/>
    <row r="95" hidden="1"/>
    <row r="96" hidden="1"/>
    <row r="97" spans="1:41" hidden="1"/>
    <row r="98" spans="1:41" hidden="1"/>
    <row r="99" spans="1:41" hidden="1"/>
    <row r="100" spans="1:41" hidden="1"/>
    <row r="105" spans="1:41" ht="16" thickBot="1">
      <c r="B105" s="41" t="s">
        <v>0</v>
      </c>
      <c r="C105" s="42" t="s">
        <v>1</v>
      </c>
      <c r="D105" s="42" t="s">
        <v>2</v>
      </c>
      <c r="E105" s="42" t="s">
        <v>3</v>
      </c>
      <c r="F105" s="43" t="s">
        <v>4</v>
      </c>
      <c r="I105" s="22" t="s">
        <v>0</v>
      </c>
      <c r="J105" s="23" t="s">
        <v>1</v>
      </c>
      <c r="K105" s="23" t="s">
        <v>2</v>
      </c>
      <c r="L105" s="23" t="s">
        <v>3</v>
      </c>
      <c r="M105" s="44" t="s">
        <v>4</v>
      </c>
      <c r="P105" s="22" t="s">
        <v>0</v>
      </c>
      <c r="Q105" s="23" t="s">
        <v>1</v>
      </c>
      <c r="R105" s="23" t="s">
        <v>2</v>
      </c>
      <c r="S105" s="23" t="s">
        <v>3</v>
      </c>
      <c r="T105" s="44" t="s">
        <v>4</v>
      </c>
      <c r="W105" s="22" t="s">
        <v>0</v>
      </c>
      <c r="X105" s="23" t="s">
        <v>1</v>
      </c>
      <c r="Y105" s="23" t="s">
        <v>2</v>
      </c>
      <c r="Z105" s="23" t="s">
        <v>3</v>
      </c>
      <c r="AA105" s="44" t="s">
        <v>4</v>
      </c>
      <c r="AD105" s="22" t="s">
        <v>0</v>
      </c>
      <c r="AE105" s="23" t="s">
        <v>1</v>
      </c>
      <c r="AF105" s="23" t="s">
        <v>2</v>
      </c>
      <c r="AG105" s="23" t="s">
        <v>3</v>
      </c>
      <c r="AH105" s="44" t="s">
        <v>4</v>
      </c>
      <c r="AK105" s="22" t="s">
        <v>0</v>
      </c>
      <c r="AL105" s="23" t="s">
        <v>1</v>
      </c>
      <c r="AM105" s="23" t="s">
        <v>2</v>
      </c>
      <c r="AN105" s="23" t="s">
        <v>3</v>
      </c>
      <c r="AO105" s="44" t="s">
        <v>4</v>
      </c>
    </row>
    <row r="106" spans="1:41" ht="16" thickTop="1">
      <c r="A106" t="s">
        <v>8</v>
      </c>
      <c r="B106">
        <f>AVERAGE(Encrypt16x256[ECB])</f>
        <v>37350.990000000005</v>
      </c>
      <c r="C106">
        <f>AVERAGE(Encrypt16x256[CBC])</f>
        <v>37.494579999999999</v>
      </c>
      <c r="D106">
        <f>AVERAGE(Encrypt16x256[OFB])</f>
        <v>35.80771</v>
      </c>
      <c r="E106">
        <f>AVERAGE(Encrypt16x256[CFB])</f>
        <v>38.195519999999995</v>
      </c>
      <c r="F106">
        <f>AVERAGE(Encrypt16x256[CTR])</f>
        <v>36.793680000000009</v>
      </c>
      <c r="I106">
        <f>AVERAGE(Encrypt24x256[ECB])</f>
        <v>31066.190000000002</v>
      </c>
      <c r="J106">
        <f>AVERAGE(Encrypt24x256[CBC])</f>
        <v>31.491030000000002</v>
      </c>
      <c r="K106">
        <f>AVERAGE(Encrypt24x256[OFB])</f>
        <v>31.132209999999997</v>
      </c>
      <c r="L106">
        <f>AVERAGE(Encrypt24x256[CFB])</f>
        <v>30.938839999999999</v>
      </c>
      <c r="M106">
        <f>AVERAGE(Encrypt24x256[CTR])</f>
        <v>32.068759999999997</v>
      </c>
      <c r="P106">
        <f>AVERAGE(Encrypt32x256[ECB])</f>
        <v>30459.559999999998</v>
      </c>
      <c r="Q106">
        <f>AVERAGE(Encrypt32x256[CBC])</f>
        <v>30.534840000000003</v>
      </c>
      <c r="R106">
        <f>AVERAGE(Encrypt32x256[OFB])</f>
        <v>30.35763</v>
      </c>
      <c r="S106">
        <f>AVERAGE(Encrypt32x256[CFB])</f>
        <v>30.429270000000002</v>
      </c>
      <c r="T106">
        <f>AVERAGE(Encrypt32x256[CTR])</f>
        <v>30.313869999999998</v>
      </c>
      <c r="W106">
        <f>AVERAGE(Decrypt16x256[ECB])</f>
        <v>40691.430000000008</v>
      </c>
      <c r="X106">
        <f>AVERAGE(Decrypt16x256[CBC])</f>
        <v>20887.55</v>
      </c>
      <c r="Y106">
        <f>AVERAGE(Decrypt16x256[OFB])</f>
        <v>42739.469999999994</v>
      </c>
      <c r="Z106">
        <f>AVERAGE(Decrypt16x256[CFB])</f>
        <v>44826.650000000009</v>
      </c>
      <c r="AA106">
        <f>AVERAGE(Decrypt16x256[CTR])</f>
        <v>42821.19000000001</v>
      </c>
      <c r="AD106">
        <f>AVERAGE(Decrypt24x256[ECB])</f>
        <v>18800.349999999999</v>
      </c>
      <c r="AE106">
        <f>AVERAGE(Decrypt24x256[CBC])</f>
        <v>17549.989999999998</v>
      </c>
      <c r="AF106">
        <f>AVERAGE(Decrypt24x256[OFB])</f>
        <v>37297.37999999999</v>
      </c>
      <c r="AG106">
        <f>AVERAGE(Decrypt24x256[CFB])</f>
        <v>39415.910000000003</v>
      </c>
      <c r="AH106">
        <f>AVERAGE(Decrypt24x256[CTR])</f>
        <v>38251.659999999989</v>
      </c>
      <c r="AK106">
        <f>AVERAGE(Decrypt32x256[ECB])</f>
        <v>18046.440000000002</v>
      </c>
      <c r="AL106">
        <f>AVERAGE(Decrypt32x256[CBC])</f>
        <v>18287.77</v>
      </c>
      <c r="AM106">
        <f>AVERAGE(Decrypt32x256[OFB])</f>
        <v>38486.259999999995</v>
      </c>
      <c r="AN106">
        <f>AVERAGE(Decrypt32x256[CFB])</f>
        <v>39702.750000000007</v>
      </c>
      <c r="AO106">
        <f>AVERAGE(Decrypt32x256[CTR])</f>
        <v>38000.57</v>
      </c>
    </row>
    <row r="107" spans="1:41">
      <c r="A107" t="s">
        <v>10</v>
      </c>
      <c r="B107">
        <f>MIN(Encrypt16x256[ECB])</f>
        <v>32920.699999999997</v>
      </c>
      <c r="C107">
        <f>MIN(Encrypt16x256[CBC])</f>
        <v>33.158999999999999</v>
      </c>
      <c r="D107">
        <f>MIN(Encrypt16x256[OFB])</f>
        <v>32.4285</v>
      </c>
      <c r="E107">
        <f>MIN(Encrypt16x256[CFB])</f>
        <v>33.603099999999998</v>
      </c>
      <c r="F107">
        <f>MIN(Encrypt16x256[CTR])</f>
        <v>34.460900000000002</v>
      </c>
      <c r="I107">
        <f>MIN(Encrypt24x256[ECB])</f>
        <v>30269.3</v>
      </c>
      <c r="J107">
        <f>MIN(Encrypt24x256[CBC])</f>
        <v>30.5214</v>
      </c>
      <c r="K107">
        <f>MIN(Encrypt24x256[OFB])</f>
        <v>30.393899999999999</v>
      </c>
      <c r="L107">
        <f>MIN(Encrypt24x256[CFB])</f>
        <v>30.180399999999999</v>
      </c>
      <c r="M107">
        <f>MIN(Encrypt24x256[CTR])</f>
        <v>30.331299999999999</v>
      </c>
      <c r="P107">
        <f>MIN(Encrypt32x256[ECB])</f>
        <v>29912.3</v>
      </c>
      <c r="Q107">
        <f>MIN(Encrypt32x256[CBC])</f>
        <v>30.047599999999999</v>
      </c>
      <c r="R107">
        <f>MIN(Encrypt32x256[OFB])</f>
        <v>30.082699999999999</v>
      </c>
      <c r="S107">
        <f>MIN(Encrypt32x256[CFB])</f>
        <v>30.107800000000001</v>
      </c>
      <c r="T107">
        <f>MIN(Encrypt32x256[CTR])</f>
        <v>30.020499999999998</v>
      </c>
      <c r="W107">
        <f>MIN(Decrypt16x256[ECB])</f>
        <v>18018.8</v>
      </c>
      <c r="X107">
        <f>MIN(Decrypt16x256[CBC])</f>
        <v>17765.2</v>
      </c>
      <c r="Y107">
        <f>MIN(Decrypt16x256[OFB])</f>
        <v>37101.800000000003</v>
      </c>
      <c r="Z107">
        <f>MIN(Decrypt16x256[CFB])</f>
        <v>39332.1</v>
      </c>
      <c r="AA107">
        <f>MIN(Decrypt16x256[CTR])</f>
        <v>37510.400000000001</v>
      </c>
      <c r="AD107">
        <f>MIN(Decrypt24x256[ECB])</f>
        <v>17908.7</v>
      </c>
      <c r="AE107">
        <f>MIN(Decrypt24x256[CBC])</f>
        <v>16964.2</v>
      </c>
      <c r="AF107">
        <f>MIN(Decrypt24x256[OFB])</f>
        <v>35978.1</v>
      </c>
      <c r="AG107">
        <f>MIN(Decrypt24x256[CFB])</f>
        <v>38132.5</v>
      </c>
      <c r="AH107">
        <f>MIN(Decrypt24x256[CTR])</f>
        <v>36331.800000000003</v>
      </c>
      <c r="AK107">
        <f>MIN(Decrypt32x256[ECB])</f>
        <v>17056.7</v>
      </c>
      <c r="AL107">
        <f>MIN(Decrypt32x256[CBC])</f>
        <v>17562.2</v>
      </c>
      <c r="AM107">
        <f>MIN(Decrypt32x256[OFB])</f>
        <v>36217.4</v>
      </c>
      <c r="AN107">
        <f>MIN(Decrypt32x256[CFB])</f>
        <v>38498.300000000003</v>
      </c>
      <c r="AO107">
        <f>MIN(Decrypt32x256[CTR])</f>
        <v>36630.1</v>
      </c>
    </row>
    <row r="108" spans="1:41">
      <c r="A108" t="s">
        <v>11</v>
      </c>
      <c r="B108">
        <f>MAX(Encrypt16x256[ECB])</f>
        <v>41554</v>
      </c>
      <c r="C108">
        <f>MAX(Encrypt16x256[CBC])</f>
        <v>41.776200000000003</v>
      </c>
      <c r="D108">
        <f>MAX(Encrypt16x256[OFB])</f>
        <v>37.515999999999998</v>
      </c>
      <c r="E108">
        <f>MAX(Encrypt16x256[CFB])</f>
        <v>40.6218</v>
      </c>
      <c r="F108">
        <f>MAX(Encrypt16x256[CTR])</f>
        <v>42.012300000000003</v>
      </c>
      <c r="I108">
        <f>MAX(Encrypt24x256[ECB])</f>
        <v>31891.599999999999</v>
      </c>
      <c r="J108">
        <f>MAX(Encrypt24x256[CBC])</f>
        <v>33.3994</v>
      </c>
      <c r="K108">
        <f>MAX(Encrypt24x256[OFB])</f>
        <v>32.526499999999999</v>
      </c>
      <c r="L108">
        <f>MAX(Encrypt24x256[CFB])</f>
        <v>33.586199999999998</v>
      </c>
      <c r="M108">
        <f>MAX(Encrypt24x256[CTR])</f>
        <v>39.975099999999998</v>
      </c>
      <c r="P108">
        <f>MAX(Encrypt32x256[ECB])</f>
        <v>32149.7</v>
      </c>
      <c r="Q108">
        <f>MAX(Encrypt32x256[CBC])</f>
        <v>31.240500000000001</v>
      </c>
      <c r="R108">
        <f>MAX(Encrypt32x256[OFB])</f>
        <v>30.884399999999999</v>
      </c>
      <c r="S108">
        <f>MAX(Encrypt32x256[CFB])</f>
        <v>31.154900000000001</v>
      </c>
      <c r="T108">
        <f>MAX(Encrypt32x256[CTR])</f>
        <v>30.887599999999999</v>
      </c>
      <c r="W108">
        <f>MAX(Decrypt16x256[ECB])</f>
        <v>212627</v>
      </c>
      <c r="X108">
        <f>MAX(Decrypt16x256[CBC])</f>
        <v>24444.7</v>
      </c>
      <c r="Y108">
        <f>MAX(Decrypt16x256[OFB])</f>
        <v>49596.6</v>
      </c>
      <c r="Z108">
        <f>MAX(Decrypt16x256[CFB])</f>
        <v>51986.9</v>
      </c>
      <c r="AA108">
        <f>MAX(Decrypt16x256[CTR])</f>
        <v>51647.6</v>
      </c>
      <c r="AD108">
        <f>MAX(Decrypt24x256[ECB])</f>
        <v>21713.3</v>
      </c>
      <c r="AE108">
        <f>MAX(Decrypt24x256[CBC])</f>
        <v>18130.5</v>
      </c>
      <c r="AF108">
        <f>MAX(Decrypt24x256[OFB])</f>
        <v>39519.4</v>
      </c>
      <c r="AG108">
        <f>MAX(Decrypt24x256[CFB])</f>
        <v>43966.7</v>
      </c>
      <c r="AH108">
        <f>MAX(Decrypt24x256[CTR])</f>
        <v>41324.800000000003</v>
      </c>
      <c r="AK108">
        <f>MAX(Decrypt32x256[ECB])</f>
        <v>19476.5</v>
      </c>
      <c r="AL108">
        <f>MAX(Decrypt32x256[CBC])</f>
        <v>19662.7</v>
      </c>
      <c r="AM108">
        <f>MAX(Decrypt32x256[OFB])</f>
        <v>43328.2</v>
      </c>
      <c r="AN108">
        <f>MAX(Decrypt32x256[CFB])</f>
        <v>42343.199999999997</v>
      </c>
      <c r="AO108">
        <f>MAX(Decrypt32x256[CTR])</f>
        <v>39906.9</v>
      </c>
    </row>
    <row r="109" spans="1:41">
      <c r="A109" t="s">
        <v>9</v>
      </c>
      <c r="B109">
        <f>MEDIAN(Encrypt16x256[ECB])</f>
        <v>37727</v>
      </c>
      <c r="C109">
        <f>MEDIAN(Encrypt16x256[CBC])</f>
        <v>37.652450000000002</v>
      </c>
      <c r="D109">
        <f>MEDIAN(Encrypt16x256[OFB])</f>
        <v>36.026949999999999</v>
      </c>
      <c r="E109">
        <f>MEDIAN(Encrypt16x256[CFB])</f>
        <v>39.097049999999996</v>
      </c>
      <c r="F109">
        <f>MEDIAN(Encrypt16x256[CTR])</f>
        <v>36.427399999999999</v>
      </c>
      <c r="I109">
        <f>MEDIAN(Encrypt24x256[ECB])</f>
        <v>31056.6</v>
      </c>
      <c r="J109">
        <f>MEDIAN(Encrypt24x256[CBC])</f>
        <v>31.226050000000001</v>
      </c>
      <c r="K109">
        <f>MEDIAN(Encrypt24x256[OFB])</f>
        <v>30.959849999999999</v>
      </c>
      <c r="L109">
        <f>MEDIAN(Encrypt24x256[CFB])</f>
        <v>30.522600000000001</v>
      </c>
      <c r="M109">
        <f>MEDIAN(Encrypt24x256[CTR])</f>
        <v>31.36195</v>
      </c>
      <c r="P109">
        <f>MEDIAN(Encrypt32x256[ECB])</f>
        <v>30185.449999999997</v>
      </c>
      <c r="Q109">
        <f>MEDIAN(Encrypt32x256[CBC])</f>
        <v>30.524100000000001</v>
      </c>
      <c r="R109">
        <f>MEDIAN(Encrypt32x256[OFB])</f>
        <v>30.306849999999997</v>
      </c>
      <c r="S109">
        <f>MEDIAN(Encrypt32x256[CFB])</f>
        <v>30.406849999999999</v>
      </c>
      <c r="T109">
        <f>MEDIAN(Encrypt32x256[CTR])</f>
        <v>30.2834</v>
      </c>
      <c r="W109">
        <f>MEDIAN(Decrypt16x256[ECB])</f>
        <v>20381.849999999999</v>
      </c>
      <c r="X109">
        <f>MEDIAN(Decrypt16x256[CBC])</f>
        <v>21103.5</v>
      </c>
      <c r="Y109">
        <f>MEDIAN(Decrypt16x256[OFB])</f>
        <v>43845.65</v>
      </c>
      <c r="Z109">
        <f>MEDIAN(Decrypt16x256[CFB])</f>
        <v>44299.4</v>
      </c>
      <c r="AA109">
        <f>MEDIAN(Decrypt16x256[CTR])</f>
        <v>42197.95</v>
      </c>
      <c r="AD109">
        <f>MEDIAN(Decrypt24x256[ECB])</f>
        <v>18261.849999999999</v>
      </c>
      <c r="AE109">
        <f>MEDIAN(Decrypt24x256[CBC])</f>
        <v>17559.3</v>
      </c>
      <c r="AF109">
        <f>MEDIAN(Decrypt24x256[OFB])</f>
        <v>37014.949999999997</v>
      </c>
      <c r="AG109">
        <f>MEDIAN(Decrypt24x256[CFB])</f>
        <v>38900.050000000003</v>
      </c>
      <c r="AH109">
        <f>MEDIAN(Decrypt24x256[CTR])</f>
        <v>38063.050000000003</v>
      </c>
      <c r="AK109">
        <f>MEDIAN(Decrypt32x256[ECB])</f>
        <v>18076.650000000001</v>
      </c>
      <c r="AL109">
        <f>MEDIAN(Decrypt32x256[CBC])</f>
        <v>18178.5</v>
      </c>
      <c r="AM109">
        <f>MEDIAN(Decrypt32x256[OFB])</f>
        <v>37419.4</v>
      </c>
      <c r="AN109">
        <f>MEDIAN(Decrypt32x256[CFB])</f>
        <v>39266.550000000003</v>
      </c>
      <c r="AO109">
        <f>MEDIAN(Decrypt32x256[CTR])</f>
        <v>37587.300000000003</v>
      </c>
    </row>
  </sheetData>
  <pageMargins left="0.75" right="0.75" top="1" bottom="1" header="0.5" footer="0.5"/>
  <pageSetup paperSize="9" orientation="portrait" horizontalDpi="4294967292" verticalDpi="4294967292"/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2"/>
  <sheetViews>
    <sheetView workbookViewId="0">
      <selection activeCell="J119" sqref="J119"/>
    </sheetView>
  </sheetViews>
  <sheetFormatPr baseColWidth="10" defaultRowHeight="15" x14ac:dyDescent="0"/>
  <cols>
    <col min="2" max="2" width="15.1640625" bestFit="1" customWidth="1"/>
    <col min="12" max="14" width="11.5" customWidth="1"/>
  </cols>
  <sheetData>
    <row r="1" spans="1:14">
      <c r="A1" s="60" t="s">
        <v>63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</row>
    <row r="2" spans="1:14">
      <c r="A2" t="s">
        <v>7</v>
      </c>
      <c r="B2" t="s">
        <v>40</v>
      </c>
      <c r="C2" t="s">
        <v>43</v>
      </c>
      <c r="D2" t="s">
        <v>44</v>
      </c>
      <c r="E2" t="s">
        <v>45</v>
      </c>
      <c r="F2" t="s">
        <v>46</v>
      </c>
      <c r="G2" t="s">
        <v>47</v>
      </c>
      <c r="H2" t="s">
        <v>48</v>
      </c>
      <c r="I2" t="s">
        <v>49</v>
      </c>
      <c r="J2" t="s">
        <v>50</v>
      </c>
      <c r="K2" t="s">
        <v>51</v>
      </c>
      <c r="L2" t="s">
        <v>52</v>
      </c>
      <c r="M2" t="s">
        <v>53</v>
      </c>
      <c r="N2" t="s">
        <v>54</v>
      </c>
    </row>
    <row r="3" spans="1:14">
      <c r="A3" t="s">
        <v>1</v>
      </c>
      <c r="B3" t="s">
        <v>30</v>
      </c>
      <c r="C3">
        <v>64</v>
      </c>
      <c r="D3">
        <v>64</v>
      </c>
      <c r="E3">
        <v>64</v>
      </c>
      <c r="F3">
        <v>96</v>
      </c>
      <c r="G3">
        <v>96</v>
      </c>
      <c r="H3">
        <v>96</v>
      </c>
      <c r="I3">
        <v>20971552</v>
      </c>
      <c r="J3">
        <v>20971552</v>
      </c>
      <c r="K3">
        <v>20971552</v>
      </c>
      <c r="L3">
        <v>536870944</v>
      </c>
      <c r="M3">
        <v>536870944</v>
      </c>
      <c r="N3">
        <v>536870944</v>
      </c>
    </row>
    <row r="4" spans="1:14">
      <c r="A4" t="s">
        <v>3</v>
      </c>
      <c r="B4" t="s">
        <v>31</v>
      </c>
      <c r="C4">
        <v>32</v>
      </c>
      <c r="D4">
        <v>32</v>
      </c>
      <c r="E4">
        <v>32</v>
      </c>
      <c r="F4">
        <v>64</v>
      </c>
      <c r="G4">
        <v>64</v>
      </c>
      <c r="H4">
        <v>64</v>
      </c>
      <c r="I4">
        <v>20971520</v>
      </c>
      <c r="J4">
        <v>20971520</v>
      </c>
      <c r="K4">
        <v>20971520</v>
      </c>
      <c r="L4">
        <v>536870912</v>
      </c>
      <c r="M4">
        <v>536870912</v>
      </c>
      <c r="N4">
        <v>536870912</v>
      </c>
    </row>
    <row r="5" spans="1:14">
      <c r="A5" t="s">
        <v>4</v>
      </c>
      <c r="B5" t="s">
        <v>32</v>
      </c>
      <c r="C5">
        <v>32</v>
      </c>
      <c r="D5">
        <v>32</v>
      </c>
      <c r="E5">
        <v>32</v>
      </c>
      <c r="F5">
        <v>64</v>
      </c>
      <c r="G5">
        <v>64</v>
      </c>
      <c r="H5">
        <v>64</v>
      </c>
      <c r="I5">
        <v>20971520</v>
      </c>
      <c r="J5">
        <v>20971520</v>
      </c>
      <c r="K5">
        <v>20971520</v>
      </c>
      <c r="L5">
        <v>536870912</v>
      </c>
      <c r="M5">
        <v>536870912</v>
      </c>
      <c r="N5">
        <v>536870912</v>
      </c>
    </row>
    <row r="6" spans="1:14">
      <c r="A6" t="s">
        <v>0</v>
      </c>
      <c r="B6" t="s">
        <v>33</v>
      </c>
      <c r="C6">
        <v>64</v>
      </c>
      <c r="D6">
        <v>64</v>
      </c>
      <c r="E6">
        <v>64</v>
      </c>
      <c r="F6">
        <v>96</v>
      </c>
      <c r="G6">
        <v>96</v>
      </c>
      <c r="H6">
        <v>96</v>
      </c>
      <c r="I6">
        <v>20971552</v>
      </c>
      <c r="J6">
        <v>20971552</v>
      </c>
      <c r="K6">
        <v>20971552</v>
      </c>
      <c r="L6">
        <v>536870944</v>
      </c>
      <c r="M6">
        <v>536870944</v>
      </c>
      <c r="N6">
        <v>536870944</v>
      </c>
    </row>
    <row r="7" spans="1:14">
      <c r="A7" t="s">
        <v>2</v>
      </c>
      <c r="B7" t="s">
        <v>34</v>
      </c>
      <c r="C7">
        <v>32</v>
      </c>
      <c r="D7">
        <v>32</v>
      </c>
      <c r="E7">
        <v>32</v>
      </c>
      <c r="F7">
        <v>64</v>
      </c>
      <c r="G7">
        <v>64</v>
      </c>
      <c r="H7">
        <v>64</v>
      </c>
      <c r="I7">
        <v>20971520</v>
      </c>
      <c r="J7">
        <v>20971520</v>
      </c>
      <c r="K7">
        <v>20971520</v>
      </c>
      <c r="L7">
        <v>536870912</v>
      </c>
      <c r="M7">
        <v>536870912</v>
      </c>
      <c r="N7">
        <v>536870912</v>
      </c>
    </row>
    <row r="12" spans="1:14">
      <c r="A12" s="60" t="s">
        <v>62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</row>
    <row r="13" spans="1:14">
      <c r="A13" t="s">
        <v>55</v>
      </c>
      <c r="B13" t="s">
        <v>40</v>
      </c>
      <c r="C13" t="s">
        <v>56</v>
      </c>
      <c r="D13" t="s">
        <v>57</v>
      </c>
      <c r="E13" t="s">
        <v>58</v>
      </c>
      <c r="F13" t="s">
        <v>59</v>
      </c>
      <c r="G13" t="s">
        <v>60</v>
      </c>
      <c r="H13" t="s">
        <v>61</v>
      </c>
      <c r="I13" t="s">
        <v>49</v>
      </c>
      <c r="J13" t="s">
        <v>50</v>
      </c>
      <c r="K13" t="s">
        <v>51</v>
      </c>
      <c r="L13" t="s">
        <v>52</v>
      </c>
      <c r="M13" t="s">
        <v>53</v>
      </c>
      <c r="N13" t="s">
        <v>54</v>
      </c>
    </row>
    <row r="14" spans="1:14">
      <c r="A14" t="s">
        <v>1</v>
      </c>
      <c r="B14" t="s">
        <v>35</v>
      </c>
      <c r="C14">
        <v>16</v>
      </c>
      <c r="D14">
        <v>16</v>
      </c>
      <c r="E14">
        <v>16</v>
      </c>
      <c r="F14">
        <v>32</v>
      </c>
      <c r="G14">
        <v>32</v>
      </c>
      <c r="H14">
        <v>32</v>
      </c>
      <c r="I14">
        <v>10485760</v>
      </c>
      <c r="J14">
        <v>10485760</v>
      </c>
      <c r="K14">
        <v>10485760</v>
      </c>
      <c r="L14">
        <v>268435456</v>
      </c>
      <c r="M14">
        <v>268435456</v>
      </c>
      <c r="N14">
        <v>268435456</v>
      </c>
    </row>
    <row r="15" spans="1:14">
      <c r="A15" t="s">
        <v>3</v>
      </c>
      <c r="B15" t="s">
        <v>36</v>
      </c>
      <c r="C15">
        <v>16</v>
      </c>
      <c r="D15">
        <v>16</v>
      </c>
      <c r="E15">
        <v>16</v>
      </c>
      <c r="F15">
        <v>32</v>
      </c>
      <c r="G15">
        <v>32</v>
      </c>
      <c r="H15">
        <v>32</v>
      </c>
      <c r="I15">
        <v>10485760</v>
      </c>
      <c r="J15">
        <v>10485760</v>
      </c>
      <c r="K15">
        <v>10485760</v>
      </c>
      <c r="L15">
        <v>268435456</v>
      </c>
      <c r="M15">
        <v>268435456</v>
      </c>
      <c r="N15">
        <v>268435456</v>
      </c>
    </row>
    <row r="16" spans="1:14">
      <c r="A16" t="s">
        <v>4</v>
      </c>
      <c r="B16" t="s">
        <v>37</v>
      </c>
      <c r="C16">
        <v>16</v>
      </c>
      <c r="D16">
        <v>16</v>
      </c>
      <c r="E16">
        <v>16</v>
      </c>
      <c r="F16">
        <v>32</v>
      </c>
      <c r="G16">
        <v>32</v>
      </c>
      <c r="H16">
        <v>32</v>
      </c>
      <c r="I16">
        <v>10485760</v>
      </c>
      <c r="J16">
        <v>10485760</v>
      </c>
      <c r="K16">
        <v>10485760</v>
      </c>
      <c r="L16">
        <v>268435456</v>
      </c>
      <c r="M16">
        <v>268435456</v>
      </c>
      <c r="N16">
        <v>268435456</v>
      </c>
    </row>
    <row r="17" spans="1:14">
      <c r="A17" t="s">
        <v>0</v>
      </c>
      <c r="B17" t="s">
        <v>38</v>
      </c>
      <c r="C17">
        <v>16</v>
      </c>
      <c r="D17">
        <v>16</v>
      </c>
      <c r="E17">
        <v>16</v>
      </c>
      <c r="F17">
        <v>32</v>
      </c>
      <c r="G17">
        <v>32</v>
      </c>
      <c r="H17">
        <v>32</v>
      </c>
      <c r="I17">
        <v>10485760</v>
      </c>
      <c r="J17">
        <v>10485760</v>
      </c>
      <c r="K17">
        <v>10485760</v>
      </c>
      <c r="L17">
        <v>268435456</v>
      </c>
      <c r="M17">
        <v>268435456</v>
      </c>
      <c r="N17">
        <v>268435456</v>
      </c>
    </row>
    <row r="18" spans="1:14">
      <c r="A18" t="s">
        <v>2</v>
      </c>
      <c r="B18" t="s">
        <v>39</v>
      </c>
      <c r="C18">
        <v>16</v>
      </c>
      <c r="D18">
        <v>16</v>
      </c>
      <c r="E18">
        <v>16</v>
      </c>
      <c r="F18">
        <v>32</v>
      </c>
      <c r="G18">
        <v>32</v>
      </c>
      <c r="H18">
        <v>32</v>
      </c>
      <c r="I18">
        <v>10485760</v>
      </c>
      <c r="J18">
        <v>10485760</v>
      </c>
      <c r="K18">
        <v>10485760</v>
      </c>
      <c r="L18">
        <v>268435456</v>
      </c>
      <c r="M18">
        <v>268435456</v>
      </c>
      <c r="N18">
        <v>268435456</v>
      </c>
    </row>
    <row r="20" spans="1:14">
      <c r="J20" s="50"/>
    </row>
    <row r="21" spans="1:14">
      <c r="I21" s="50"/>
      <c r="J21" s="50"/>
    </row>
    <row r="22" spans="1:14">
      <c r="I22" s="50"/>
      <c r="J22" s="50"/>
      <c r="K22" s="50"/>
    </row>
    <row r="23" spans="1:14">
      <c r="I23" s="50"/>
      <c r="J23" s="50"/>
      <c r="K23" s="50"/>
    </row>
    <row r="24" spans="1:14">
      <c r="I24" s="50"/>
      <c r="J24" s="50"/>
      <c r="K24" s="50"/>
    </row>
    <row r="25" spans="1:14">
      <c r="I25" s="50"/>
      <c r="J25" s="50"/>
      <c r="K25" s="50"/>
    </row>
    <row r="26" spans="1:14">
      <c r="I26" s="50"/>
      <c r="J26" s="50"/>
      <c r="K26" s="50"/>
    </row>
    <row r="27" spans="1:14">
      <c r="I27" s="50"/>
      <c r="J27" s="50"/>
      <c r="K27" s="50"/>
    </row>
    <row r="28" spans="1:14">
      <c r="I28" s="50"/>
      <c r="J28" s="50"/>
      <c r="K28" s="50"/>
    </row>
    <row r="29" spans="1:14">
      <c r="I29" s="50"/>
      <c r="J29" s="50"/>
      <c r="K29" s="50"/>
    </row>
    <row r="30" spans="1:14">
      <c r="I30" s="50"/>
      <c r="J30" s="50"/>
      <c r="K30" s="50"/>
    </row>
    <row r="31" spans="1:14">
      <c r="I31" s="50"/>
      <c r="K31" s="50"/>
    </row>
    <row r="32" spans="1:14">
      <c r="I32" s="50"/>
      <c r="K32" s="50"/>
    </row>
  </sheetData>
  <mergeCells count="2">
    <mergeCell ref="A1:N1"/>
    <mergeCell ref="A12:N12"/>
  </mergeCells>
  <pageMargins left="0.75" right="0.75" top="1" bottom="1" header="0.5" footer="0.5"/>
  <pageSetup paperSize="9" orientation="portrait" horizontalDpi="4294967292" verticalDpi="4294967292"/>
  <tableParts count="2">
    <tablePart r:id="rId1"/>
    <tablePart r:id="rId2"/>
  </tableParts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>
      <selection activeCell="J119" sqref="J119"/>
    </sheetView>
  </sheetViews>
  <sheetFormatPr baseColWidth="10" defaultRowHeight="15" x14ac:dyDescent="0"/>
  <sheetData>
    <row r="1" spans="1:2">
      <c r="A1" t="s">
        <v>27</v>
      </c>
      <c r="B1">
        <v>2</v>
      </c>
    </row>
    <row r="2" spans="1:2">
      <c r="A2" t="s">
        <v>26</v>
      </c>
      <c r="B2">
        <v>3</v>
      </c>
    </row>
    <row r="3" spans="1:2">
      <c r="A3" t="s">
        <v>28</v>
      </c>
      <c r="B3">
        <v>4</v>
      </c>
    </row>
    <row r="4" spans="1:2">
      <c r="A4" t="s">
        <v>29</v>
      </c>
      <c r="B4">
        <v>5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"/>
  <sheetViews>
    <sheetView workbookViewId="0">
      <selection activeCell="J119" sqref="J119"/>
    </sheetView>
  </sheetViews>
  <sheetFormatPr baseColWidth="10" defaultRowHeight="15" x14ac:dyDescent="0"/>
  <sheetData>
    <row r="1" spans="1:8">
      <c r="B1" t="s">
        <v>0</v>
      </c>
      <c r="C1" t="s">
        <v>1</v>
      </c>
      <c r="D1" t="s">
        <v>2</v>
      </c>
      <c r="E1" t="s">
        <v>3</v>
      </c>
      <c r="F1" t="s">
        <v>4</v>
      </c>
      <c r="H1" t="s">
        <v>84</v>
      </c>
    </row>
    <row r="2" spans="1:8">
      <c r="A2">
        <v>1000</v>
      </c>
      <c r="B2">
        <v>131.96799999999999</v>
      </c>
      <c r="C2">
        <v>0.123934</v>
      </c>
      <c r="D2">
        <v>0.124348</v>
      </c>
      <c r="E2">
        <v>0.124152</v>
      </c>
      <c r="F2">
        <v>0.122973</v>
      </c>
      <c r="H2">
        <f>B2/Sheet2!A2</f>
        <v>0.131968</v>
      </c>
    </row>
    <row r="3" spans="1:8">
      <c r="A3">
        <v>1000</v>
      </c>
      <c r="B3">
        <v>115.092</v>
      </c>
      <c r="C3">
        <v>0.115074</v>
      </c>
      <c r="D3">
        <v>0.11598700000000001</v>
      </c>
      <c r="E3">
        <v>0.14228199999999999</v>
      </c>
      <c r="F3">
        <v>0.11563900000000001</v>
      </c>
    </row>
    <row r="4" spans="1:8">
      <c r="A4">
        <v>1000</v>
      </c>
      <c r="B4">
        <v>114.878</v>
      </c>
      <c r="C4">
        <v>0.116119</v>
      </c>
      <c r="D4">
        <v>0.115537</v>
      </c>
      <c r="E4">
        <v>0.115353</v>
      </c>
      <c r="F4">
        <v>0.11527</v>
      </c>
    </row>
    <row r="5" spans="1:8">
      <c r="A5">
        <v>1000</v>
      </c>
      <c r="B5">
        <v>132.964</v>
      </c>
      <c r="C5">
        <v>0.11544699999999999</v>
      </c>
      <c r="D5">
        <v>0.115662</v>
      </c>
      <c r="E5">
        <v>0.115357</v>
      </c>
      <c r="F5">
        <v>0.115662</v>
      </c>
    </row>
    <row r="6" spans="1:8">
      <c r="A6">
        <v>1000</v>
      </c>
      <c r="B6">
        <v>114.94799999999999</v>
      </c>
      <c r="C6">
        <v>0.115069</v>
      </c>
      <c r="D6">
        <v>0.11529300000000001</v>
      </c>
      <c r="E6">
        <v>0.11479</v>
      </c>
      <c r="F6">
        <v>0.11529499999999999</v>
      </c>
    </row>
    <row r="7" spans="1:8">
      <c r="A7">
        <v>1000</v>
      </c>
      <c r="B7">
        <v>115.56</v>
      </c>
      <c r="C7">
        <v>0.11536200000000001</v>
      </c>
      <c r="D7">
        <v>0.115768</v>
      </c>
      <c r="E7">
        <v>0.116587</v>
      </c>
      <c r="F7">
        <v>0.11554</v>
      </c>
    </row>
    <row r="8" spans="1:8">
      <c r="A8">
        <v>1000</v>
      </c>
      <c r="B8">
        <v>115.408</v>
      </c>
      <c r="C8">
        <v>0.115175</v>
      </c>
      <c r="D8">
        <v>0.11561200000000001</v>
      </c>
      <c r="E8">
        <v>0.11536100000000001</v>
      </c>
      <c r="F8">
        <v>0.115732</v>
      </c>
    </row>
    <row r="9" spans="1:8">
      <c r="A9">
        <v>1000</v>
      </c>
      <c r="B9">
        <v>114.97799999999999</v>
      </c>
      <c r="C9">
        <v>0.134795</v>
      </c>
      <c r="D9">
        <v>0.115448</v>
      </c>
      <c r="E9">
        <v>0.11533599999999999</v>
      </c>
      <c r="F9">
        <v>0.11503099999999999</v>
      </c>
    </row>
    <row r="10" spans="1:8">
      <c r="A10">
        <v>1000</v>
      </c>
      <c r="B10">
        <v>115.20099999999999</v>
      </c>
      <c r="C10">
        <v>0.11516700000000001</v>
      </c>
      <c r="D10">
        <v>0.124711</v>
      </c>
      <c r="E10">
        <v>0.122098</v>
      </c>
      <c r="F10">
        <v>0.116119</v>
      </c>
    </row>
    <row r="11" spans="1:8">
      <c r="A11">
        <v>1000</v>
      </c>
      <c r="B11">
        <v>116.143</v>
      </c>
      <c r="C11">
        <v>0.115593</v>
      </c>
      <c r="D11">
        <v>0.11604399999999999</v>
      </c>
      <c r="E11">
        <v>0.115083</v>
      </c>
      <c r="F11">
        <v>0.11550100000000001</v>
      </c>
    </row>
    <row r="12" spans="1:8">
      <c r="A12">
        <v>1000</v>
      </c>
      <c r="B12">
        <v>114.965</v>
      </c>
      <c r="C12">
        <v>0.115485</v>
      </c>
      <c r="D12">
        <v>0.115438</v>
      </c>
      <c r="E12">
        <v>0.11525100000000001</v>
      </c>
      <c r="F12">
        <v>0.115331</v>
      </c>
    </row>
    <row r="13" spans="1:8">
      <c r="A13">
        <v>1000</v>
      </c>
      <c r="B13">
        <v>115.199</v>
      </c>
      <c r="C13">
        <v>0.11515599999999999</v>
      </c>
      <c r="D13">
        <v>0.141818</v>
      </c>
      <c r="E13">
        <v>0.11532199999999999</v>
      </c>
      <c r="F13">
        <v>0.115985</v>
      </c>
    </row>
    <row r="14" spans="1:8">
      <c r="A14">
        <v>1000</v>
      </c>
      <c r="B14">
        <v>115.014</v>
      </c>
      <c r="C14">
        <v>0.115193</v>
      </c>
      <c r="D14">
        <v>0.116538</v>
      </c>
      <c r="E14">
        <v>0.11562799999999999</v>
      </c>
      <c r="F14">
        <v>0.115082</v>
      </c>
    </row>
    <row r="15" spans="1:8">
      <c r="A15">
        <v>1000</v>
      </c>
      <c r="B15">
        <v>114.84699999999999</v>
      </c>
      <c r="C15">
        <v>0.114969</v>
      </c>
      <c r="D15">
        <v>0.11532000000000001</v>
      </c>
      <c r="E15">
        <v>0.11601300000000001</v>
      </c>
      <c r="F15">
        <v>0.115136</v>
      </c>
    </row>
    <row r="16" spans="1:8">
      <c r="A16">
        <v>1000</v>
      </c>
      <c r="B16">
        <v>115.303</v>
      </c>
      <c r="C16">
        <v>0.115399</v>
      </c>
      <c r="D16">
        <v>0.115409</v>
      </c>
      <c r="E16">
        <v>0.11482100000000001</v>
      </c>
      <c r="F16">
        <v>0.115693</v>
      </c>
    </row>
    <row r="17" spans="1:6">
      <c r="A17">
        <v>1000</v>
      </c>
      <c r="B17">
        <v>115.214</v>
      </c>
      <c r="C17">
        <v>0.11543200000000001</v>
      </c>
      <c r="D17">
        <v>0.11643000000000001</v>
      </c>
      <c r="E17">
        <v>0.115207</v>
      </c>
      <c r="F17">
        <v>0.115351</v>
      </c>
    </row>
    <row r="18" spans="1:6">
      <c r="A18">
        <v>1000</v>
      </c>
      <c r="B18">
        <v>115.006</v>
      </c>
      <c r="C18">
        <v>0.11505600000000001</v>
      </c>
      <c r="D18">
        <v>0.13076699999999999</v>
      </c>
      <c r="E18">
        <v>0.116303</v>
      </c>
      <c r="F18">
        <v>0.11511</v>
      </c>
    </row>
    <row r="19" spans="1:6">
      <c r="A19">
        <v>1000</v>
      </c>
      <c r="B19">
        <v>115.60299999999999</v>
      </c>
      <c r="C19">
        <v>0.11543200000000001</v>
      </c>
      <c r="D19">
        <v>0.115494</v>
      </c>
      <c r="E19">
        <v>0.115554</v>
      </c>
      <c r="F19">
        <v>0.115261</v>
      </c>
    </row>
    <row r="20" spans="1:6">
      <c r="A20">
        <v>1000</v>
      </c>
      <c r="B20">
        <v>114.92700000000001</v>
      </c>
      <c r="C20">
        <v>0.11515599999999999</v>
      </c>
      <c r="D20">
        <v>0.115534</v>
      </c>
      <c r="E20">
        <v>0.11486399999999999</v>
      </c>
      <c r="F20">
        <v>0.115561</v>
      </c>
    </row>
    <row r="21" spans="1:6">
      <c r="A21">
        <v>1000</v>
      </c>
      <c r="B21">
        <v>115.063</v>
      </c>
      <c r="C21">
        <v>0.11529200000000001</v>
      </c>
      <c r="D21">
        <v>0.115255</v>
      </c>
      <c r="E21">
        <v>0.114875</v>
      </c>
      <c r="F21">
        <v>0.114847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221"/>
  <sheetViews>
    <sheetView workbookViewId="0">
      <selection activeCell="J119" sqref="J119"/>
    </sheetView>
  </sheetViews>
  <sheetFormatPr baseColWidth="10" defaultRowHeight="15" x14ac:dyDescent="0"/>
  <cols>
    <col min="1" max="1" width="11" customWidth="1"/>
  </cols>
  <sheetData>
    <row r="1" spans="1:41">
      <c r="B1" t="s">
        <v>16</v>
      </c>
      <c r="I1" t="s">
        <v>17</v>
      </c>
      <c r="P1" t="s">
        <v>18</v>
      </c>
      <c r="W1" t="s">
        <v>19</v>
      </c>
      <c r="AD1" t="s">
        <v>20</v>
      </c>
      <c r="AK1" t="s">
        <v>21</v>
      </c>
    </row>
    <row r="2" spans="1:41">
      <c r="A2" t="s">
        <v>23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I2" t="s">
        <v>0</v>
      </c>
      <c r="J2" t="s">
        <v>1</v>
      </c>
      <c r="K2" t="s">
        <v>2</v>
      </c>
      <c r="L2" t="s">
        <v>3</v>
      </c>
      <c r="M2" t="s">
        <v>4</v>
      </c>
      <c r="P2" t="s">
        <v>0</v>
      </c>
      <c r="Q2" t="s">
        <v>1</v>
      </c>
      <c r="R2" t="s">
        <v>2</v>
      </c>
      <c r="S2" t="s">
        <v>3</v>
      </c>
      <c r="T2" t="s">
        <v>4</v>
      </c>
      <c r="W2" t="s">
        <v>0</v>
      </c>
      <c r="X2" t="s">
        <v>1</v>
      </c>
      <c r="Y2" t="s">
        <v>2</v>
      </c>
      <c r="Z2" t="s">
        <v>3</v>
      </c>
      <c r="AA2" t="s">
        <v>4</v>
      </c>
      <c r="AD2" t="s">
        <v>0</v>
      </c>
      <c r="AE2" t="s">
        <v>1</v>
      </c>
      <c r="AF2" t="s">
        <v>2</v>
      </c>
      <c r="AG2" t="s">
        <v>3</v>
      </c>
      <c r="AH2" t="s">
        <v>4</v>
      </c>
      <c r="AK2" t="s">
        <v>0</v>
      </c>
      <c r="AL2" t="s">
        <v>1</v>
      </c>
      <c r="AM2" t="s">
        <v>2</v>
      </c>
      <c r="AN2" t="s">
        <v>3</v>
      </c>
      <c r="AO2" t="s">
        <v>4</v>
      </c>
    </row>
    <row r="3" spans="1:41">
      <c r="A3">
        <v>1</v>
      </c>
      <c r="B3">
        <v>0.35899999999999999</v>
      </c>
      <c r="C3">
        <v>1.17E-4</v>
      </c>
      <c r="D3">
        <v>1.05E-4</v>
      </c>
      <c r="E3">
        <v>1.05E-4</v>
      </c>
      <c r="F3">
        <v>1.0399999999999999E-4</v>
      </c>
      <c r="I3">
        <v>9.9000000000000005E-2</v>
      </c>
      <c r="J3" s="1">
        <v>6.3999999999999997E-5</v>
      </c>
      <c r="K3" s="1">
        <v>5.7000000000000003E-5</v>
      </c>
      <c r="L3" s="1">
        <v>5.8E-5</v>
      </c>
      <c r="M3" s="1">
        <v>6.3999999999999997E-5</v>
      </c>
      <c r="N3" s="1"/>
      <c r="P3">
        <v>0.16800000000000001</v>
      </c>
      <c r="Q3">
        <v>1.16E-4</v>
      </c>
      <c r="R3">
        <v>1.06E-4</v>
      </c>
      <c r="S3">
        <v>1.05E-4</v>
      </c>
      <c r="T3">
        <v>1.16E-4</v>
      </c>
      <c r="W3">
        <v>0.23100000000000001</v>
      </c>
      <c r="X3">
        <v>0.10299999999999999</v>
      </c>
      <c r="Y3">
        <v>0.107</v>
      </c>
      <c r="Z3">
        <v>9.7000000000000003E-2</v>
      </c>
      <c r="AA3">
        <v>0.108</v>
      </c>
      <c r="AD3">
        <v>0.13900000000000001</v>
      </c>
      <c r="AE3">
        <v>5.5E-2</v>
      </c>
      <c r="AF3">
        <v>5.8999999999999997E-2</v>
      </c>
      <c r="AG3">
        <v>5.5E-2</v>
      </c>
      <c r="AH3">
        <v>5.3999999999999999E-2</v>
      </c>
      <c r="AK3">
        <v>0.129</v>
      </c>
      <c r="AL3">
        <v>5.5E-2</v>
      </c>
      <c r="AM3">
        <v>6.2E-2</v>
      </c>
      <c r="AN3">
        <v>5.3999999999999999E-2</v>
      </c>
      <c r="AO3">
        <v>5.3999999999999999E-2</v>
      </c>
    </row>
    <row r="4" spans="1:41">
      <c r="A4">
        <v>2</v>
      </c>
      <c r="B4">
        <v>0.105</v>
      </c>
      <c r="C4">
        <v>1.0399999999999999E-4</v>
      </c>
      <c r="D4">
        <v>1E-4</v>
      </c>
      <c r="E4" s="1">
        <v>9.2E-5</v>
      </c>
      <c r="F4" s="1">
        <v>8.8999999999999995E-5</v>
      </c>
      <c r="G4" s="1"/>
      <c r="I4">
        <v>0.06</v>
      </c>
      <c r="J4" s="1">
        <v>6.0000000000000002E-5</v>
      </c>
      <c r="K4" s="1">
        <v>5.8E-5</v>
      </c>
      <c r="L4">
        <v>1.76E-4</v>
      </c>
      <c r="M4" s="1">
        <v>7.7000000000000001E-5</v>
      </c>
      <c r="N4" s="1"/>
      <c r="P4">
        <v>8.8999999999999996E-2</v>
      </c>
      <c r="Q4" s="1">
        <v>8.8999999999999995E-5</v>
      </c>
      <c r="R4" s="1">
        <v>8.5000000000000006E-5</v>
      </c>
      <c r="S4">
        <v>1.5100000000000001E-4</v>
      </c>
      <c r="T4" s="1">
        <v>9.2999999999999997E-5</v>
      </c>
      <c r="U4" s="1"/>
      <c r="W4">
        <v>8.2000000000000003E-2</v>
      </c>
      <c r="X4">
        <v>8.5999999999999993E-2</v>
      </c>
      <c r="Y4">
        <v>8.3000000000000004E-2</v>
      </c>
      <c r="Z4">
        <v>0.187</v>
      </c>
      <c r="AA4">
        <v>7.9000000000000001E-2</v>
      </c>
      <c r="AD4">
        <v>0.80800000000000005</v>
      </c>
      <c r="AE4">
        <v>4.9000000000000002E-2</v>
      </c>
      <c r="AF4">
        <v>5.3999999999999999E-2</v>
      </c>
      <c r="AG4">
        <v>5.0999999999999997E-2</v>
      </c>
      <c r="AH4">
        <v>0.16700000000000001</v>
      </c>
      <c r="AK4">
        <v>0.98899999999999999</v>
      </c>
      <c r="AL4">
        <v>5.1999999999999998E-2</v>
      </c>
      <c r="AM4">
        <v>0.05</v>
      </c>
      <c r="AN4">
        <v>0.05</v>
      </c>
      <c r="AO4">
        <v>5.8999999999999997E-2</v>
      </c>
    </row>
    <row r="5" spans="1:41">
      <c r="A5">
        <v>3</v>
      </c>
      <c r="B5">
        <v>9.1999999999999998E-2</v>
      </c>
      <c r="C5" s="1">
        <v>9.1000000000000003E-5</v>
      </c>
      <c r="D5" s="1">
        <v>9.2999999999999997E-5</v>
      </c>
      <c r="E5">
        <v>1.03E-4</v>
      </c>
      <c r="F5" s="1">
        <v>8.3999999999999995E-5</v>
      </c>
      <c r="G5" s="1"/>
      <c r="I5">
        <v>9.1999999999999998E-2</v>
      </c>
      <c r="J5">
        <v>5.0900000000000001E-4</v>
      </c>
      <c r="K5" s="1">
        <v>5.5000000000000002E-5</v>
      </c>
      <c r="L5" s="1">
        <v>5.1999999999999997E-5</v>
      </c>
      <c r="M5" s="1">
        <v>5.3000000000000001E-5</v>
      </c>
      <c r="N5" s="1"/>
      <c r="P5">
        <v>9.8000000000000004E-2</v>
      </c>
      <c r="Q5">
        <v>1.08E-4</v>
      </c>
      <c r="R5" s="1">
        <v>8.2000000000000001E-5</v>
      </c>
      <c r="S5" s="1">
        <v>8.3999999999999995E-5</v>
      </c>
      <c r="T5" s="1">
        <v>8.2000000000000001E-5</v>
      </c>
      <c r="U5" s="1"/>
      <c r="W5">
        <v>8.2000000000000003E-2</v>
      </c>
      <c r="X5">
        <v>7.8E-2</v>
      </c>
      <c r="Y5">
        <v>9.2999999999999999E-2</v>
      </c>
      <c r="Z5">
        <v>0.151</v>
      </c>
      <c r="AA5">
        <v>7.5999999999999998E-2</v>
      </c>
      <c r="AD5">
        <v>5.5E-2</v>
      </c>
      <c r="AE5">
        <v>5.5E-2</v>
      </c>
      <c r="AF5">
        <v>5.6000000000000001E-2</v>
      </c>
      <c r="AG5">
        <v>0.122</v>
      </c>
      <c r="AH5">
        <v>5.0999999999999997E-2</v>
      </c>
      <c r="AK5">
        <v>7.9000000000000001E-2</v>
      </c>
      <c r="AL5">
        <v>0.05</v>
      </c>
      <c r="AM5">
        <v>5.3999999999999999E-2</v>
      </c>
      <c r="AN5">
        <v>6.9000000000000006E-2</v>
      </c>
      <c r="AO5">
        <v>4.8000000000000001E-2</v>
      </c>
    </row>
    <row r="6" spans="1:41">
      <c r="A6">
        <v>4</v>
      </c>
      <c r="B6">
        <v>8.6999999999999994E-2</v>
      </c>
      <c r="C6" s="1">
        <v>8.3999999999999995E-5</v>
      </c>
      <c r="D6">
        <v>2.2900000000000001E-4</v>
      </c>
      <c r="E6" s="1">
        <v>7.6000000000000004E-5</v>
      </c>
      <c r="F6" s="1">
        <v>8.2000000000000001E-5</v>
      </c>
      <c r="G6" s="1"/>
      <c r="I6">
        <v>5.5E-2</v>
      </c>
      <c r="J6" s="1">
        <v>5.3999999999999998E-5</v>
      </c>
      <c r="K6" s="1">
        <v>5.3999999999999998E-5</v>
      </c>
      <c r="L6" s="1">
        <v>5.3000000000000001E-5</v>
      </c>
      <c r="M6" s="1">
        <v>5.1999999999999997E-5</v>
      </c>
      <c r="N6" s="1"/>
      <c r="P6">
        <v>8.8999999999999996E-2</v>
      </c>
      <c r="Q6" s="1">
        <v>8.7000000000000001E-5</v>
      </c>
      <c r="R6" s="1">
        <v>8.6000000000000003E-5</v>
      </c>
      <c r="S6" s="1">
        <v>7.4999999999999993E-5</v>
      </c>
      <c r="T6" s="1">
        <v>8.2000000000000001E-5</v>
      </c>
      <c r="U6" s="1"/>
      <c r="W6">
        <v>0.08</v>
      </c>
      <c r="X6">
        <v>7.0999999999999994E-2</v>
      </c>
      <c r="Y6">
        <v>0.10299999999999999</v>
      </c>
      <c r="Z6">
        <v>7.8E-2</v>
      </c>
      <c r="AA6">
        <v>6.9000000000000006E-2</v>
      </c>
      <c r="AD6">
        <v>5.0999999999999997E-2</v>
      </c>
      <c r="AE6">
        <v>4.9000000000000002E-2</v>
      </c>
      <c r="AF6">
        <v>0.2</v>
      </c>
      <c r="AG6">
        <v>4.6219999999999999</v>
      </c>
      <c r="AH6">
        <v>5.0999999999999997E-2</v>
      </c>
      <c r="AK6">
        <v>0.104</v>
      </c>
      <c r="AL6">
        <v>4.9000000000000002E-2</v>
      </c>
      <c r="AM6">
        <v>0.22700000000000001</v>
      </c>
      <c r="AN6">
        <v>4.9000000000000002E-2</v>
      </c>
      <c r="AO6">
        <v>0.05</v>
      </c>
    </row>
    <row r="7" spans="1:41">
      <c r="A7">
        <v>5</v>
      </c>
      <c r="B7">
        <v>8.8999999999999996E-2</v>
      </c>
      <c r="C7" s="1">
        <v>8.5000000000000006E-5</v>
      </c>
      <c r="D7" s="1">
        <v>8.5000000000000006E-5</v>
      </c>
      <c r="E7" s="1">
        <v>8.2000000000000001E-5</v>
      </c>
      <c r="F7" s="1">
        <v>8.0000000000000007E-5</v>
      </c>
      <c r="G7" s="1"/>
      <c r="I7">
        <v>5.6000000000000001E-2</v>
      </c>
      <c r="J7" s="1">
        <v>5.7000000000000003E-5</v>
      </c>
      <c r="K7" s="1">
        <v>5.3000000000000001E-5</v>
      </c>
      <c r="L7" s="1">
        <v>5.3000000000000001E-5</v>
      </c>
      <c r="M7" s="1">
        <v>5.3000000000000001E-5</v>
      </c>
      <c r="N7" s="1"/>
      <c r="P7">
        <v>8.7999999999999995E-2</v>
      </c>
      <c r="Q7" s="1">
        <v>8.7000000000000001E-5</v>
      </c>
      <c r="R7" s="1">
        <v>8.2000000000000001E-5</v>
      </c>
      <c r="S7" s="1">
        <v>8.3999999999999995E-5</v>
      </c>
      <c r="T7" s="1">
        <v>8.5000000000000006E-5</v>
      </c>
      <c r="U7" s="1"/>
      <c r="W7">
        <v>8.1000000000000003E-2</v>
      </c>
      <c r="X7">
        <v>7.6999999999999999E-2</v>
      </c>
      <c r="Y7">
        <v>0.19900000000000001</v>
      </c>
      <c r="Z7">
        <v>7.0000000000000007E-2</v>
      </c>
      <c r="AA7">
        <v>7.4999999999999997E-2</v>
      </c>
      <c r="AD7">
        <v>5.6000000000000001E-2</v>
      </c>
      <c r="AE7">
        <v>5.3999999999999999E-2</v>
      </c>
      <c r="AF7">
        <v>5.7000000000000002E-2</v>
      </c>
      <c r="AG7">
        <v>8.6999999999999994E-2</v>
      </c>
      <c r="AH7">
        <v>4.7E-2</v>
      </c>
      <c r="AK7">
        <v>3.3849999999999998</v>
      </c>
      <c r="AL7">
        <v>5.0999999999999997E-2</v>
      </c>
      <c r="AM7">
        <v>5.3999999999999999E-2</v>
      </c>
      <c r="AN7">
        <v>5.0999999999999997E-2</v>
      </c>
      <c r="AO7">
        <v>5.1999999999999998E-2</v>
      </c>
    </row>
    <row r="8" spans="1:41">
      <c r="A8">
        <v>6</v>
      </c>
      <c r="B8">
        <v>0.21299999999999999</v>
      </c>
      <c r="C8" s="1">
        <v>8.0000000000000007E-5</v>
      </c>
      <c r="D8" s="1">
        <v>8.3999999999999995E-5</v>
      </c>
      <c r="E8" s="1">
        <v>8.1000000000000004E-5</v>
      </c>
      <c r="F8" s="1">
        <v>8.1000000000000004E-5</v>
      </c>
      <c r="G8" s="1"/>
      <c r="I8">
        <v>5.7000000000000002E-2</v>
      </c>
      <c r="J8" s="1">
        <v>6.7999999999999999E-5</v>
      </c>
      <c r="K8" s="1">
        <v>5.5000000000000002E-5</v>
      </c>
      <c r="L8">
        <v>2.5599999999999999E-4</v>
      </c>
      <c r="M8" s="1">
        <v>8.3999999999999995E-5</v>
      </c>
      <c r="N8" s="1"/>
      <c r="P8">
        <v>8.5000000000000006E-2</v>
      </c>
      <c r="Q8" s="1">
        <v>8.7000000000000001E-5</v>
      </c>
      <c r="R8" s="1">
        <v>7.6000000000000004E-5</v>
      </c>
      <c r="S8" s="1">
        <v>8.2000000000000001E-5</v>
      </c>
      <c r="T8" s="1">
        <v>8.1000000000000004E-5</v>
      </c>
      <c r="U8" s="1"/>
      <c r="W8">
        <v>8.2000000000000003E-2</v>
      </c>
      <c r="X8">
        <v>7.0999999999999994E-2</v>
      </c>
      <c r="Y8">
        <v>7.5999999999999998E-2</v>
      </c>
      <c r="Z8">
        <v>7.5999999999999998E-2</v>
      </c>
      <c r="AA8">
        <v>7.8E-2</v>
      </c>
      <c r="AD8">
        <v>5.8999999999999997E-2</v>
      </c>
      <c r="AE8">
        <v>9.0999999999999998E-2</v>
      </c>
      <c r="AF8">
        <v>0.17399999999999999</v>
      </c>
      <c r="AG8">
        <v>6.9000000000000006E-2</v>
      </c>
      <c r="AH8">
        <v>0.16400000000000001</v>
      </c>
      <c r="AK8">
        <v>5.7000000000000002E-2</v>
      </c>
      <c r="AL8">
        <v>5.0999999999999997E-2</v>
      </c>
      <c r="AM8">
        <v>4.7E-2</v>
      </c>
      <c r="AN8">
        <v>0.05</v>
      </c>
      <c r="AO8">
        <v>4.9000000000000002E-2</v>
      </c>
    </row>
    <row r="9" spans="1:41">
      <c r="A9">
        <v>7</v>
      </c>
      <c r="B9">
        <v>8.4000000000000005E-2</v>
      </c>
      <c r="C9" s="1">
        <v>8.7999999999999998E-5</v>
      </c>
      <c r="D9" s="1">
        <v>8.0000000000000007E-5</v>
      </c>
      <c r="E9" s="1">
        <v>8.1000000000000004E-5</v>
      </c>
      <c r="F9">
        <v>2.3900000000000001E-4</v>
      </c>
      <c r="I9">
        <v>5.6000000000000001E-2</v>
      </c>
      <c r="J9" s="1">
        <v>5.5000000000000002E-5</v>
      </c>
      <c r="K9" s="1">
        <v>5.3000000000000001E-5</v>
      </c>
      <c r="L9" s="1">
        <v>5.3000000000000001E-5</v>
      </c>
      <c r="M9" s="1">
        <v>5.3000000000000001E-5</v>
      </c>
      <c r="N9" s="1"/>
      <c r="P9">
        <v>8.1000000000000003E-2</v>
      </c>
      <c r="Q9" s="1">
        <v>8.7999999999999998E-5</v>
      </c>
      <c r="R9" s="1">
        <v>8.2999999999999998E-5</v>
      </c>
      <c r="S9" s="1">
        <v>8.0000000000000007E-5</v>
      </c>
      <c r="T9" s="1">
        <v>8.3999999999999995E-5</v>
      </c>
      <c r="U9" s="1"/>
      <c r="W9">
        <v>0.08</v>
      </c>
      <c r="X9">
        <v>0.106</v>
      </c>
      <c r="Y9">
        <v>7.6999999999999999E-2</v>
      </c>
      <c r="Z9">
        <v>7.3999999999999996E-2</v>
      </c>
      <c r="AA9">
        <v>0.247</v>
      </c>
      <c r="AD9">
        <v>6.9000000000000006E-2</v>
      </c>
      <c r="AE9">
        <v>0.13200000000000001</v>
      </c>
      <c r="AF9">
        <v>0.05</v>
      </c>
      <c r="AG9">
        <v>4.7E-2</v>
      </c>
      <c r="AH9">
        <v>4.9000000000000002E-2</v>
      </c>
      <c r="AK9">
        <v>0.05</v>
      </c>
      <c r="AL9">
        <v>4.9000000000000002E-2</v>
      </c>
      <c r="AM9">
        <v>1.046</v>
      </c>
      <c r="AN9">
        <v>8.4000000000000005E-2</v>
      </c>
      <c r="AO9">
        <v>4.9000000000000002E-2</v>
      </c>
    </row>
    <row r="10" spans="1:41">
      <c r="A10">
        <v>8</v>
      </c>
      <c r="B10">
        <v>8.5999999999999993E-2</v>
      </c>
      <c r="C10">
        <v>1.0399999999999999E-4</v>
      </c>
      <c r="D10">
        <v>1.02E-4</v>
      </c>
      <c r="E10" s="1">
        <v>7.6000000000000004E-5</v>
      </c>
      <c r="F10">
        <v>1.2300000000000001E-4</v>
      </c>
      <c r="I10">
        <v>5.6000000000000001E-2</v>
      </c>
      <c r="J10" s="1">
        <v>5.5000000000000002E-5</v>
      </c>
      <c r="K10" s="1">
        <v>5.1999999999999997E-5</v>
      </c>
      <c r="L10">
        <v>5.7340000000000004E-3</v>
      </c>
      <c r="M10">
        <v>1.3408E-2</v>
      </c>
      <c r="P10">
        <v>8.4000000000000005E-2</v>
      </c>
      <c r="Q10" s="1">
        <v>8.5000000000000006E-5</v>
      </c>
      <c r="R10" s="1">
        <v>8.1000000000000004E-5</v>
      </c>
      <c r="S10" s="1">
        <v>8.3999999999999995E-5</v>
      </c>
      <c r="T10" s="1">
        <v>8.0000000000000007E-5</v>
      </c>
      <c r="U10" s="1"/>
      <c r="W10">
        <v>7.0999999999999994E-2</v>
      </c>
      <c r="X10">
        <v>6.9000000000000006E-2</v>
      </c>
      <c r="Y10">
        <v>6.8000000000000005E-2</v>
      </c>
      <c r="Z10">
        <v>7.4999999999999997E-2</v>
      </c>
      <c r="AA10">
        <v>7.5999999999999998E-2</v>
      </c>
      <c r="AD10">
        <v>5.1999999999999998E-2</v>
      </c>
      <c r="AE10">
        <v>4.9000000000000002E-2</v>
      </c>
      <c r="AF10">
        <v>4.8000000000000001E-2</v>
      </c>
      <c r="AG10">
        <v>4.7E-2</v>
      </c>
      <c r="AH10">
        <v>4.7E-2</v>
      </c>
      <c r="AK10">
        <v>5.8999999999999997E-2</v>
      </c>
      <c r="AL10">
        <v>7.9000000000000001E-2</v>
      </c>
      <c r="AM10">
        <v>7.0999999999999994E-2</v>
      </c>
      <c r="AN10">
        <v>7.9000000000000001E-2</v>
      </c>
      <c r="AO10">
        <v>5.1999999999999998E-2</v>
      </c>
    </row>
    <row r="11" spans="1:41">
      <c r="A11">
        <v>9</v>
      </c>
      <c r="B11">
        <v>0.08</v>
      </c>
      <c r="C11" s="1">
        <v>8.0000000000000007E-5</v>
      </c>
      <c r="D11">
        <v>2.2599999999999999E-4</v>
      </c>
      <c r="E11">
        <v>1E-4</v>
      </c>
      <c r="F11" s="1">
        <v>8.2000000000000001E-5</v>
      </c>
      <c r="G11" s="1"/>
      <c r="I11">
        <v>4.8250000000000002</v>
      </c>
      <c r="J11">
        <v>1.56E-4</v>
      </c>
      <c r="K11">
        <v>1.16E-4</v>
      </c>
      <c r="L11">
        <v>1.13E-4</v>
      </c>
      <c r="M11">
        <v>1E-4</v>
      </c>
      <c r="P11">
        <v>8.5000000000000006E-2</v>
      </c>
      <c r="Q11" s="1">
        <v>8.8999999999999995E-5</v>
      </c>
      <c r="R11" s="1">
        <v>8.3999999999999995E-5</v>
      </c>
      <c r="S11" s="1">
        <v>8.1000000000000004E-5</v>
      </c>
      <c r="T11" s="1">
        <v>7.6000000000000004E-5</v>
      </c>
      <c r="U11" s="1"/>
      <c r="W11">
        <v>7.9000000000000001E-2</v>
      </c>
      <c r="X11">
        <v>6.8000000000000005E-2</v>
      </c>
      <c r="Y11">
        <v>0.19</v>
      </c>
      <c r="Z11">
        <v>7.5999999999999998E-2</v>
      </c>
      <c r="AA11">
        <v>0.89200000000000002</v>
      </c>
      <c r="AD11">
        <v>5.0999999999999997E-2</v>
      </c>
      <c r="AE11">
        <v>4.9000000000000002E-2</v>
      </c>
      <c r="AF11">
        <v>4.8000000000000001E-2</v>
      </c>
      <c r="AG11">
        <v>4.7E-2</v>
      </c>
      <c r="AH11">
        <v>0.15</v>
      </c>
      <c r="AK11">
        <v>5.1999999999999998E-2</v>
      </c>
      <c r="AL11">
        <v>0.05</v>
      </c>
      <c r="AM11">
        <v>4.9000000000000002E-2</v>
      </c>
      <c r="AN11">
        <v>4.8000000000000001E-2</v>
      </c>
      <c r="AO11">
        <v>4.8000000000000001E-2</v>
      </c>
    </row>
    <row r="12" spans="1:41">
      <c r="A12">
        <v>10</v>
      </c>
      <c r="B12">
        <v>8.2000000000000003E-2</v>
      </c>
      <c r="C12" s="1">
        <v>7.8999999999999996E-5</v>
      </c>
      <c r="D12" s="1">
        <v>7.4999999999999993E-5</v>
      </c>
      <c r="E12" s="1">
        <v>7.4999999999999993E-5</v>
      </c>
      <c r="F12" s="1">
        <v>7.3999999999999996E-5</v>
      </c>
      <c r="G12" s="1"/>
      <c r="I12">
        <v>0.10299999999999999</v>
      </c>
      <c r="J12">
        <v>1.1400000000000001E-4</v>
      </c>
      <c r="K12">
        <v>1.17E-4</v>
      </c>
      <c r="L12" s="1">
        <v>8.6000000000000003E-5</v>
      </c>
      <c r="M12" s="1">
        <v>9.0000000000000006E-5</v>
      </c>
      <c r="N12" s="1"/>
      <c r="P12">
        <v>7.9000000000000001E-2</v>
      </c>
      <c r="Q12" s="1">
        <v>8.3999999999999995E-5</v>
      </c>
      <c r="R12" s="1">
        <v>8.6000000000000003E-5</v>
      </c>
      <c r="S12" s="1">
        <v>7.7000000000000001E-5</v>
      </c>
      <c r="T12" s="1">
        <v>8.2999999999999998E-5</v>
      </c>
      <c r="U12" s="1"/>
      <c r="W12">
        <v>7.4999999999999997E-2</v>
      </c>
      <c r="X12">
        <v>6.9000000000000006E-2</v>
      </c>
      <c r="Y12">
        <v>7.0000000000000007E-2</v>
      </c>
      <c r="Z12">
        <v>0.63800000000000001</v>
      </c>
      <c r="AA12">
        <v>6.2E-2</v>
      </c>
      <c r="AD12">
        <v>0.05</v>
      </c>
      <c r="AE12">
        <v>0.18</v>
      </c>
      <c r="AF12">
        <v>0.05</v>
      </c>
      <c r="AG12">
        <v>4.9000000000000002E-2</v>
      </c>
      <c r="AH12">
        <v>4.9000000000000002E-2</v>
      </c>
      <c r="AK12">
        <v>5.1999999999999998E-2</v>
      </c>
      <c r="AL12">
        <v>6.3E-2</v>
      </c>
      <c r="AM12">
        <v>4.8000000000000001E-2</v>
      </c>
      <c r="AN12">
        <v>4.7E-2</v>
      </c>
      <c r="AO12">
        <v>0.10199999999999999</v>
      </c>
    </row>
    <row r="13" spans="1:41">
      <c r="A13">
        <v>11</v>
      </c>
      <c r="B13">
        <v>7.8E-2</v>
      </c>
      <c r="C13" s="1">
        <v>7.7999999999999999E-5</v>
      </c>
      <c r="D13" s="1">
        <v>7.3999999999999996E-5</v>
      </c>
      <c r="E13" s="1">
        <v>7.4999999999999993E-5</v>
      </c>
      <c r="F13" s="1">
        <v>7.4999999999999993E-5</v>
      </c>
      <c r="G13" s="1"/>
      <c r="I13">
        <v>9.4E-2</v>
      </c>
      <c r="J13" s="1">
        <v>9.2999999999999997E-5</v>
      </c>
      <c r="K13" s="1">
        <v>9.7999999999999997E-5</v>
      </c>
      <c r="L13" s="1">
        <v>7.6000000000000004E-5</v>
      </c>
      <c r="M13" s="1">
        <v>7.6000000000000004E-5</v>
      </c>
      <c r="N13" s="1"/>
      <c r="P13">
        <v>7.9000000000000001E-2</v>
      </c>
      <c r="Q13" s="1">
        <v>8.0000000000000007E-5</v>
      </c>
      <c r="R13" s="1">
        <v>7.4999999999999993E-5</v>
      </c>
      <c r="S13">
        <v>7.0809999999999996E-3</v>
      </c>
      <c r="T13">
        <v>2.1111000000000001E-2</v>
      </c>
      <c r="W13">
        <v>6.4000000000000001E-2</v>
      </c>
      <c r="X13">
        <v>6.2E-2</v>
      </c>
      <c r="Y13">
        <v>6.2E-2</v>
      </c>
      <c r="Z13">
        <v>0.06</v>
      </c>
      <c r="AA13">
        <v>0.06</v>
      </c>
      <c r="AD13">
        <v>5.0999999999999997E-2</v>
      </c>
      <c r="AE13">
        <v>4.9000000000000002E-2</v>
      </c>
      <c r="AF13">
        <v>4.8000000000000001E-2</v>
      </c>
      <c r="AG13">
        <v>4.7E-2</v>
      </c>
      <c r="AH13">
        <v>4.9000000000000002E-2</v>
      </c>
      <c r="AK13">
        <v>5.0999999999999997E-2</v>
      </c>
      <c r="AL13">
        <v>6.8000000000000005E-2</v>
      </c>
      <c r="AM13">
        <v>0.05</v>
      </c>
      <c r="AN13">
        <v>4.8000000000000001E-2</v>
      </c>
      <c r="AO13">
        <v>0.10299999999999999</v>
      </c>
    </row>
    <row r="14" spans="1:41">
      <c r="A14">
        <v>12</v>
      </c>
      <c r="B14">
        <v>7.9000000000000001E-2</v>
      </c>
      <c r="C14" s="1">
        <v>7.8999999999999996E-5</v>
      </c>
      <c r="D14" s="1">
        <v>7.4999999999999993E-5</v>
      </c>
      <c r="E14" s="1">
        <v>7.7999999999999999E-5</v>
      </c>
      <c r="F14" s="1">
        <v>7.6000000000000004E-5</v>
      </c>
      <c r="G14" s="1"/>
      <c r="I14">
        <v>8.1000000000000003E-2</v>
      </c>
      <c r="J14">
        <v>2.5700000000000001E-4</v>
      </c>
      <c r="K14" s="1">
        <v>7.7999999999999999E-5</v>
      </c>
      <c r="L14">
        <v>1.8799999999999999E-4</v>
      </c>
      <c r="M14" s="1">
        <v>8.0000000000000007E-5</v>
      </c>
      <c r="N14" s="1"/>
      <c r="P14">
        <v>0.122</v>
      </c>
      <c r="Q14">
        <v>1.11E-4</v>
      </c>
      <c r="R14">
        <v>1.06E-4</v>
      </c>
      <c r="S14">
        <v>1.03E-4</v>
      </c>
      <c r="T14" s="1">
        <v>9.8999999999999994E-5</v>
      </c>
      <c r="U14" s="1"/>
      <c r="W14">
        <v>6.2E-2</v>
      </c>
      <c r="X14">
        <v>6.4000000000000001E-2</v>
      </c>
      <c r="Y14">
        <v>6.0999999999999999E-2</v>
      </c>
      <c r="Z14">
        <v>6.0999999999999999E-2</v>
      </c>
      <c r="AA14">
        <v>6.2E-2</v>
      </c>
      <c r="AD14">
        <v>0.187</v>
      </c>
      <c r="AE14">
        <v>5.7000000000000002E-2</v>
      </c>
      <c r="AF14">
        <v>5.3999999999999999E-2</v>
      </c>
      <c r="AG14">
        <v>5.3999999999999999E-2</v>
      </c>
      <c r="AH14">
        <v>5.2999999999999999E-2</v>
      </c>
      <c r="AK14">
        <v>5.0999999999999997E-2</v>
      </c>
      <c r="AL14">
        <v>4.8000000000000001E-2</v>
      </c>
      <c r="AM14">
        <v>0.05</v>
      </c>
      <c r="AN14">
        <v>4.7E-2</v>
      </c>
      <c r="AO14">
        <v>0.05</v>
      </c>
    </row>
    <row r="15" spans="1:41">
      <c r="A15">
        <v>13</v>
      </c>
      <c r="B15">
        <v>7.8E-2</v>
      </c>
      <c r="C15" s="1">
        <v>7.7000000000000001E-5</v>
      </c>
      <c r="D15" s="1">
        <v>7.4999999999999993E-5</v>
      </c>
      <c r="E15" s="1">
        <v>8.2999999999999998E-5</v>
      </c>
      <c r="F15" s="1">
        <v>6.7000000000000002E-5</v>
      </c>
      <c r="G15" s="1"/>
      <c r="I15">
        <v>8.1000000000000003E-2</v>
      </c>
      <c r="J15" s="1">
        <v>8.0000000000000007E-5</v>
      </c>
      <c r="K15" s="1">
        <v>8.0000000000000007E-5</v>
      </c>
      <c r="L15" s="1">
        <v>7.6000000000000004E-5</v>
      </c>
      <c r="M15" s="1">
        <v>7.7999999999999999E-5</v>
      </c>
      <c r="N15" s="1"/>
      <c r="P15">
        <v>9.9000000000000005E-2</v>
      </c>
      <c r="Q15" s="1">
        <v>9.0000000000000006E-5</v>
      </c>
      <c r="R15" s="1">
        <v>9.2E-5</v>
      </c>
      <c r="S15" s="1">
        <v>8.8999999999999995E-5</v>
      </c>
      <c r="T15" s="1">
        <v>9.7E-5</v>
      </c>
      <c r="U15" s="1"/>
      <c r="W15">
        <v>6.6000000000000003E-2</v>
      </c>
      <c r="X15">
        <v>0.06</v>
      </c>
      <c r="Y15">
        <v>3.7410000000000001</v>
      </c>
      <c r="Z15">
        <v>5.7000000000000002E-2</v>
      </c>
      <c r="AA15">
        <v>5.5E-2</v>
      </c>
      <c r="AD15">
        <v>5.7000000000000002E-2</v>
      </c>
      <c r="AE15">
        <v>5.2999999999999999E-2</v>
      </c>
      <c r="AF15">
        <v>5.1999999999999998E-2</v>
      </c>
      <c r="AG15">
        <v>0.17699999999999999</v>
      </c>
      <c r="AH15">
        <v>7.0999999999999994E-2</v>
      </c>
      <c r="AK15">
        <v>0.05</v>
      </c>
      <c r="AL15">
        <v>4.8000000000000001E-2</v>
      </c>
      <c r="AM15">
        <v>4.8000000000000001E-2</v>
      </c>
      <c r="AN15">
        <v>4.5999999999999999E-2</v>
      </c>
      <c r="AO15">
        <v>4.5999999999999999E-2</v>
      </c>
    </row>
    <row r="16" spans="1:41">
      <c r="A16">
        <v>14</v>
      </c>
      <c r="B16">
        <v>0.435</v>
      </c>
      <c r="C16">
        <v>1.7750000000000001E-3</v>
      </c>
      <c r="D16">
        <v>2.24E-4</v>
      </c>
      <c r="E16" s="1">
        <v>6.4999999999999994E-5</v>
      </c>
      <c r="F16" s="1">
        <v>7.7999999999999999E-5</v>
      </c>
      <c r="G16" s="1"/>
      <c r="I16">
        <v>7.9000000000000001E-2</v>
      </c>
      <c r="J16" s="1">
        <v>8.1000000000000004E-5</v>
      </c>
      <c r="K16" s="1">
        <v>7.6000000000000004E-5</v>
      </c>
      <c r="L16" s="1">
        <v>7.6000000000000004E-5</v>
      </c>
      <c r="M16" s="1">
        <v>7.6000000000000004E-5</v>
      </c>
      <c r="N16" s="1"/>
      <c r="P16">
        <v>9.8000000000000004E-2</v>
      </c>
      <c r="Q16" s="1">
        <v>8.1000000000000004E-5</v>
      </c>
      <c r="R16" s="1">
        <v>8.2000000000000001E-5</v>
      </c>
      <c r="S16" s="1">
        <v>7.6000000000000004E-5</v>
      </c>
      <c r="T16" s="1">
        <v>7.4999999999999993E-5</v>
      </c>
      <c r="U16" s="1"/>
      <c r="W16">
        <v>6.3E-2</v>
      </c>
      <c r="X16">
        <v>6.0999999999999999E-2</v>
      </c>
      <c r="Y16">
        <v>6.0999999999999999E-2</v>
      </c>
      <c r="Z16">
        <v>0.06</v>
      </c>
      <c r="AA16">
        <v>0.21</v>
      </c>
      <c r="AD16">
        <v>5.5E-2</v>
      </c>
      <c r="AE16">
        <v>5.3999999999999999E-2</v>
      </c>
      <c r="AF16">
        <v>0.35199999999999998</v>
      </c>
      <c r="AG16">
        <v>0.05</v>
      </c>
      <c r="AH16">
        <v>0.158</v>
      </c>
      <c r="AK16">
        <v>7.3999999999999996E-2</v>
      </c>
      <c r="AL16">
        <v>4.8000000000000001E-2</v>
      </c>
      <c r="AM16">
        <v>9.1999999999999998E-2</v>
      </c>
      <c r="AN16">
        <v>4.7E-2</v>
      </c>
      <c r="AO16">
        <v>4.8000000000000001E-2</v>
      </c>
    </row>
    <row r="17" spans="1:41">
      <c r="A17">
        <v>15</v>
      </c>
      <c r="B17">
        <v>0.155</v>
      </c>
      <c r="C17" s="1">
        <v>6.7000000000000002E-5</v>
      </c>
      <c r="D17" s="1">
        <v>6.3E-5</v>
      </c>
      <c r="E17" s="1">
        <v>6.0999999999999999E-5</v>
      </c>
      <c r="F17" s="1">
        <v>6.3E-5</v>
      </c>
      <c r="G17" s="1"/>
      <c r="I17">
        <v>0.08</v>
      </c>
      <c r="J17" s="1">
        <v>8.2999999999999998E-5</v>
      </c>
      <c r="K17" s="1">
        <v>7.7000000000000001E-5</v>
      </c>
      <c r="L17" s="1">
        <v>7.7000000000000001E-5</v>
      </c>
      <c r="M17" s="1">
        <v>7.3999999999999996E-5</v>
      </c>
      <c r="N17" s="1"/>
      <c r="P17">
        <v>0.08</v>
      </c>
      <c r="Q17">
        <v>6.6220000000000003E-3</v>
      </c>
      <c r="R17">
        <v>3.4600000000000001E-4</v>
      </c>
      <c r="S17" s="1">
        <v>8.2999999999999998E-5</v>
      </c>
      <c r="T17" s="1">
        <v>7.7999999999999999E-5</v>
      </c>
      <c r="U17" s="1"/>
      <c r="W17">
        <v>5.6000000000000001E-2</v>
      </c>
      <c r="X17">
        <v>5.7000000000000002E-2</v>
      </c>
      <c r="Y17">
        <v>5.5E-2</v>
      </c>
      <c r="Z17">
        <v>5.5E-2</v>
      </c>
      <c r="AA17">
        <v>1.4219999999999999</v>
      </c>
      <c r="AD17">
        <v>7.3999999999999996E-2</v>
      </c>
      <c r="AE17">
        <v>0.14799999999999999</v>
      </c>
      <c r="AF17">
        <v>4.8000000000000001E-2</v>
      </c>
      <c r="AG17">
        <v>4.8000000000000001E-2</v>
      </c>
      <c r="AH17">
        <v>4.9000000000000002E-2</v>
      </c>
      <c r="AK17">
        <v>0.05</v>
      </c>
      <c r="AL17">
        <v>4.8000000000000001E-2</v>
      </c>
      <c r="AM17">
        <v>0.14499999999999999</v>
      </c>
      <c r="AN17">
        <v>5.7000000000000002E-2</v>
      </c>
      <c r="AO17">
        <v>5.3999999999999999E-2</v>
      </c>
    </row>
    <row r="18" spans="1:41">
      <c r="A18">
        <v>16</v>
      </c>
      <c r="B18">
        <v>8.5000000000000006E-2</v>
      </c>
      <c r="C18" s="1">
        <v>6.6000000000000005E-5</v>
      </c>
      <c r="D18" s="1">
        <v>6.0999999999999999E-5</v>
      </c>
      <c r="E18" s="1">
        <v>6.0999999999999999E-5</v>
      </c>
      <c r="F18" s="1">
        <v>6.0000000000000002E-5</v>
      </c>
      <c r="G18" s="1"/>
      <c r="I18">
        <v>1.165</v>
      </c>
      <c r="J18" s="1">
        <v>9.0000000000000006E-5</v>
      </c>
      <c r="K18" s="1">
        <v>8.5000000000000006E-5</v>
      </c>
      <c r="L18" s="1">
        <v>7.6000000000000004E-5</v>
      </c>
      <c r="M18" s="1">
        <v>8.0000000000000007E-5</v>
      </c>
      <c r="N18" s="1"/>
      <c r="P18">
        <v>8.6999999999999994E-2</v>
      </c>
      <c r="Q18" s="1">
        <v>8.2000000000000001E-5</v>
      </c>
      <c r="R18" s="1">
        <v>7.7000000000000001E-5</v>
      </c>
      <c r="S18" s="1">
        <v>7.7000000000000001E-5</v>
      </c>
      <c r="T18" s="1">
        <v>7.7000000000000001E-5</v>
      </c>
      <c r="U18" s="1"/>
      <c r="W18">
        <v>6.6000000000000003E-2</v>
      </c>
      <c r="X18">
        <v>0.06</v>
      </c>
      <c r="Y18">
        <v>6.2E-2</v>
      </c>
      <c r="Z18">
        <v>6.2E-2</v>
      </c>
      <c r="AA18">
        <v>6.5000000000000002E-2</v>
      </c>
      <c r="AD18">
        <v>14.6</v>
      </c>
      <c r="AE18">
        <v>0.30099999999999999</v>
      </c>
      <c r="AF18">
        <v>5.3999999999999999E-2</v>
      </c>
      <c r="AG18">
        <v>5.1999999999999998E-2</v>
      </c>
      <c r="AH18">
        <v>5.1999999999999998E-2</v>
      </c>
      <c r="AK18">
        <v>5.1999999999999998E-2</v>
      </c>
      <c r="AL18">
        <v>4.9000000000000002E-2</v>
      </c>
      <c r="AM18">
        <v>9.2070000000000007</v>
      </c>
      <c r="AN18">
        <v>0.83699999999999997</v>
      </c>
      <c r="AO18">
        <v>5.8999999999999997E-2</v>
      </c>
    </row>
    <row r="19" spans="1:41" hidden="1">
      <c r="A19">
        <v>17</v>
      </c>
      <c r="B19">
        <v>6.5000000000000002E-2</v>
      </c>
      <c r="C19" s="1">
        <v>8.7000000000000001E-5</v>
      </c>
      <c r="D19" s="1">
        <v>6.2000000000000003E-5</v>
      </c>
      <c r="E19">
        <v>3.8049999999999998E-3</v>
      </c>
      <c r="F19" s="1">
        <v>7.4999999999999993E-5</v>
      </c>
      <c r="G19" s="1"/>
      <c r="I19">
        <v>7.9000000000000001E-2</v>
      </c>
      <c r="J19" s="1">
        <v>8.1000000000000004E-5</v>
      </c>
      <c r="K19" s="1">
        <v>8.2000000000000001E-5</v>
      </c>
      <c r="L19">
        <v>8.7740000000000005E-3</v>
      </c>
      <c r="M19" s="1">
        <v>7.4999999999999993E-5</v>
      </c>
      <c r="N19" s="1"/>
      <c r="P19">
        <v>0.08</v>
      </c>
      <c r="Q19" s="1">
        <v>8.0000000000000007E-5</v>
      </c>
      <c r="R19" s="1">
        <v>8.5000000000000006E-5</v>
      </c>
      <c r="S19">
        <v>4.26E-4</v>
      </c>
      <c r="T19" s="1">
        <v>7.8999999999999996E-5</v>
      </c>
      <c r="U19" s="1"/>
      <c r="W19">
        <v>7.9000000000000001E-2</v>
      </c>
      <c r="X19">
        <v>4.8000000000000001E-2</v>
      </c>
      <c r="Y19">
        <v>4.9000000000000002E-2</v>
      </c>
      <c r="Z19">
        <v>0.22600000000000001</v>
      </c>
      <c r="AA19">
        <v>0.05</v>
      </c>
      <c r="AD19">
        <v>4.8000000000000001E-2</v>
      </c>
      <c r="AE19">
        <v>4.7E-2</v>
      </c>
      <c r="AF19">
        <v>4.8000000000000001E-2</v>
      </c>
      <c r="AG19">
        <v>0.25800000000000001</v>
      </c>
      <c r="AH19">
        <v>4.9000000000000002E-2</v>
      </c>
      <c r="AK19">
        <v>5.6000000000000001E-2</v>
      </c>
      <c r="AL19">
        <v>6.2E-2</v>
      </c>
      <c r="AM19">
        <v>5.2999999999999999E-2</v>
      </c>
      <c r="AN19">
        <v>6.4000000000000001E-2</v>
      </c>
      <c r="AO19">
        <v>5.6000000000000001E-2</v>
      </c>
    </row>
    <row r="20" spans="1:41" hidden="1">
      <c r="A20">
        <v>18</v>
      </c>
      <c r="B20">
        <v>6.0999999999999999E-2</v>
      </c>
      <c r="C20" s="1">
        <v>8.6000000000000003E-5</v>
      </c>
      <c r="D20" s="1">
        <v>5.8999999999999998E-5</v>
      </c>
      <c r="E20" s="1">
        <v>5.5999999999999999E-5</v>
      </c>
      <c r="F20" s="1">
        <v>7.6000000000000004E-5</v>
      </c>
      <c r="G20" s="1"/>
      <c r="H20" s="1"/>
      <c r="I20">
        <v>7.6999999999999999E-2</v>
      </c>
      <c r="J20" s="1">
        <v>7.6000000000000004E-5</v>
      </c>
      <c r="K20" s="1">
        <v>6.8999999999999997E-5</v>
      </c>
      <c r="L20" s="1">
        <v>7.2999999999999999E-5</v>
      </c>
      <c r="M20" s="1">
        <v>7.2999999999999999E-5</v>
      </c>
      <c r="N20" s="1"/>
      <c r="P20">
        <v>8.5000000000000006E-2</v>
      </c>
      <c r="Q20" s="1">
        <v>8.2000000000000001E-5</v>
      </c>
      <c r="R20" s="1">
        <v>7.7000000000000001E-5</v>
      </c>
      <c r="S20" s="1">
        <v>8.2999999999999998E-5</v>
      </c>
      <c r="T20" s="1">
        <v>7.7000000000000001E-5</v>
      </c>
      <c r="U20" s="1"/>
      <c r="W20">
        <v>5.6000000000000001E-2</v>
      </c>
      <c r="X20">
        <v>0.05</v>
      </c>
      <c r="Y20">
        <v>4.8000000000000001E-2</v>
      </c>
      <c r="Z20">
        <v>4.8000000000000001E-2</v>
      </c>
      <c r="AA20">
        <v>4.8000000000000001E-2</v>
      </c>
      <c r="AD20">
        <v>0.05</v>
      </c>
      <c r="AE20">
        <v>4.8000000000000001E-2</v>
      </c>
      <c r="AF20">
        <v>5.7000000000000002E-2</v>
      </c>
      <c r="AG20">
        <v>4.9000000000000002E-2</v>
      </c>
      <c r="AH20">
        <v>9.0999999999999998E-2</v>
      </c>
      <c r="AK20">
        <v>0.13800000000000001</v>
      </c>
      <c r="AL20">
        <v>5.5E-2</v>
      </c>
      <c r="AM20">
        <v>5.2999999999999999E-2</v>
      </c>
      <c r="AN20">
        <v>5.1999999999999998E-2</v>
      </c>
      <c r="AO20">
        <v>4.9000000000000002E-2</v>
      </c>
    </row>
    <row r="21" spans="1:41" hidden="1">
      <c r="A21">
        <v>19</v>
      </c>
      <c r="B21">
        <v>5.8000000000000003E-2</v>
      </c>
      <c r="C21" s="1">
        <v>6.2000000000000003E-5</v>
      </c>
      <c r="D21" s="1">
        <v>6.6000000000000005E-5</v>
      </c>
      <c r="E21" s="1">
        <v>2.1000000000000001E-4</v>
      </c>
      <c r="F21" s="1">
        <v>5.5999999999999999E-5</v>
      </c>
      <c r="G21" s="1"/>
      <c r="H21" s="1"/>
      <c r="I21">
        <v>7.5999999999999998E-2</v>
      </c>
      <c r="J21">
        <v>2.1000000000000001E-4</v>
      </c>
      <c r="K21" s="1">
        <v>6.9999999999999994E-5</v>
      </c>
      <c r="L21" s="1">
        <v>7.2999999999999999E-5</v>
      </c>
      <c r="M21" s="1">
        <v>7.6000000000000004E-5</v>
      </c>
      <c r="N21" s="1"/>
      <c r="P21">
        <v>8.1000000000000003E-2</v>
      </c>
      <c r="Q21" s="1">
        <v>8.0000000000000007E-5</v>
      </c>
      <c r="R21" s="1">
        <v>8.1000000000000004E-5</v>
      </c>
      <c r="S21" s="1">
        <v>8.3999999999999995E-5</v>
      </c>
      <c r="T21" s="1">
        <v>7.7999999999999999E-5</v>
      </c>
      <c r="U21" s="1"/>
      <c r="W21">
        <v>4.9000000000000002E-2</v>
      </c>
      <c r="X21">
        <v>0.05</v>
      </c>
      <c r="Y21">
        <v>5.1999999999999998E-2</v>
      </c>
      <c r="Z21">
        <v>5.1999999999999998E-2</v>
      </c>
      <c r="AA21">
        <v>4.7E-2</v>
      </c>
      <c r="AD21">
        <v>9.6000000000000002E-2</v>
      </c>
      <c r="AE21">
        <v>5.1999999999999998E-2</v>
      </c>
      <c r="AF21">
        <v>5.1999999999999998E-2</v>
      </c>
      <c r="AG21">
        <v>4.9000000000000002E-2</v>
      </c>
      <c r="AH21">
        <v>7.9000000000000001E-2</v>
      </c>
      <c r="AK21">
        <v>5.0999999999999997E-2</v>
      </c>
      <c r="AL21">
        <v>4.9000000000000002E-2</v>
      </c>
      <c r="AM21">
        <v>4.9000000000000002E-2</v>
      </c>
      <c r="AN21">
        <v>10.068</v>
      </c>
      <c r="AO21">
        <v>5.0999999999999997E-2</v>
      </c>
    </row>
    <row r="22" spans="1:41" hidden="1">
      <c r="A22">
        <v>20</v>
      </c>
      <c r="B22">
        <v>5.8000000000000003E-2</v>
      </c>
      <c r="C22" s="1">
        <v>5.5999999999999999E-5</v>
      </c>
      <c r="D22" s="1">
        <v>5.3999999999999998E-5</v>
      </c>
      <c r="E22" s="1">
        <v>5.3999999999999998E-5</v>
      </c>
      <c r="F22" s="1">
        <v>5.3000000000000001E-5</v>
      </c>
      <c r="G22" s="1"/>
      <c r="H22" s="1"/>
      <c r="I22">
        <v>7.9000000000000001E-2</v>
      </c>
      <c r="J22" s="1">
        <v>7.8999999999999996E-5</v>
      </c>
      <c r="K22" s="1">
        <v>7.6000000000000004E-5</v>
      </c>
      <c r="L22" s="1">
        <v>7.2000000000000002E-5</v>
      </c>
      <c r="M22" s="1">
        <v>7.2000000000000002E-5</v>
      </c>
      <c r="N22" s="1"/>
      <c r="P22">
        <v>8.7999999999999995E-2</v>
      </c>
      <c r="Q22" s="1">
        <v>7.1000000000000005E-5</v>
      </c>
      <c r="R22" s="1">
        <v>6.7000000000000002E-5</v>
      </c>
      <c r="S22" s="1">
        <v>6.4999999999999994E-5</v>
      </c>
      <c r="T22">
        <v>6.5600000000000001E-4</v>
      </c>
      <c r="W22">
        <v>0.05</v>
      </c>
      <c r="X22">
        <v>18.936</v>
      </c>
      <c r="Y22">
        <v>6.4000000000000001E-2</v>
      </c>
      <c r="Z22">
        <v>0.219</v>
      </c>
      <c r="AA22">
        <v>7.0000000000000007E-2</v>
      </c>
      <c r="AD22">
        <v>6.9000000000000006E-2</v>
      </c>
      <c r="AE22">
        <v>7.8E-2</v>
      </c>
      <c r="AF22">
        <v>4.9000000000000002E-2</v>
      </c>
      <c r="AG22">
        <v>4.8000000000000001E-2</v>
      </c>
      <c r="AH22">
        <v>4.8000000000000001E-2</v>
      </c>
      <c r="AK22">
        <v>5.6000000000000001E-2</v>
      </c>
      <c r="AL22">
        <v>4.9000000000000002E-2</v>
      </c>
      <c r="AM22">
        <v>5.8999999999999997E-2</v>
      </c>
      <c r="AN22">
        <v>5.8999999999999997E-2</v>
      </c>
      <c r="AO22">
        <v>6.9000000000000006E-2</v>
      </c>
    </row>
    <row r="23" spans="1:41" hidden="1">
      <c r="A23">
        <v>21</v>
      </c>
      <c r="B23">
        <v>9.0999999999999998E-2</v>
      </c>
      <c r="C23" s="1">
        <v>7.7000000000000001E-5</v>
      </c>
      <c r="D23" s="1">
        <v>5.5999999999999999E-5</v>
      </c>
      <c r="E23" s="1">
        <v>5.3999999999999998E-5</v>
      </c>
      <c r="F23" s="1">
        <v>5.3000000000000001E-5</v>
      </c>
      <c r="G23" s="1"/>
      <c r="H23" s="1"/>
      <c r="I23">
        <v>0.20499999999999999</v>
      </c>
      <c r="J23" s="1">
        <v>7.2999999999999999E-5</v>
      </c>
      <c r="K23" s="1">
        <v>6.9999999999999994E-5</v>
      </c>
      <c r="L23" s="1">
        <v>6.6000000000000005E-5</v>
      </c>
      <c r="M23" s="1">
        <v>6.6000000000000005E-5</v>
      </c>
      <c r="N23" s="1"/>
      <c r="P23">
        <v>0.433</v>
      </c>
      <c r="Q23" s="1">
        <v>7.6000000000000004E-5</v>
      </c>
      <c r="R23">
        <v>1.01E-4</v>
      </c>
      <c r="S23" s="1">
        <v>6.9999999999999994E-5</v>
      </c>
      <c r="T23" s="1">
        <v>6.9999999999999994E-5</v>
      </c>
      <c r="U23" s="1"/>
      <c r="W23">
        <v>6.2E-2</v>
      </c>
      <c r="X23">
        <v>5.5E-2</v>
      </c>
      <c r="Y23">
        <v>5.2999999999999999E-2</v>
      </c>
      <c r="Z23">
        <v>5.2999999999999999E-2</v>
      </c>
      <c r="AA23">
        <v>0.06</v>
      </c>
      <c r="AD23">
        <v>0.05</v>
      </c>
      <c r="AE23">
        <v>0.16700000000000001</v>
      </c>
      <c r="AF23">
        <v>4.8000000000000001E-2</v>
      </c>
      <c r="AG23">
        <v>4.8000000000000001E-2</v>
      </c>
      <c r="AH23">
        <v>4.8000000000000001E-2</v>
      </c>
      <c r="AK23">
        <v>0.05</v>
      </c>
      <c r="AL23">
        <v>7.2999999999999995E-2</v>
      </c>
      <c r="AM23">
        <v>4.8000000000000001E-2</v>
      </c>
      <c r="AN23">
        <v>0.113</v>
      </c>
      <c r="AO23">
        <v>0.80300000000000005</v>
      </c>
    </row>
    <row r="24" spans="1:41" hidden="1">
      <c r="A24">
        <v>22</v>
      </c>
      <c r="B24">
        <v>5.7000000000000002E-2</v>
      </c>
      <c r="C24" s="1">
        <v>5.5000000000000002E-5</v>
      </c>
      <c r="D24" s="1">
        <v>5.3000000000000001E-5</v>
      </c>
      <c r="E24" s="1">
        <v>5.3000000000000001E-5</v>
      </c>
      <c r="F24" s="1">
        <v>5.3999999999999998E-5</v>
      </c>
      <c r="G24" s="1"/>
      <c r="H24" s="1"/>
      <c r="I24">
        <v>7.0999999999999994E-2</v>
      </c>
      <c r="J24" s="1">
        <v>6.9999999999999994E-5</v>
      </c>
      <c r="K24" s="1">
        <v>6.2000000000000003E-5</v>
      </c>
      <c r="L24">
        <v>1.7000000000000001E-4</v>
      </c>
      <c r="M24">
        <v>2.7900000000000001E-4</v>
      </c>
      <c r="P24">
        <v>7.3999999999999996E-2</v>
      </c>
      <c r="Q24" s="1">
        <v>7.2999999999999999E-5</v>
      </c>
      <c r="R24" s="1">
        <v>6.9999999999999994E-5</v>
      </c>
      <c r="S24" s="1">
        <v>6.9999999999999994E-5</v>
      </c>
      <c r="T24" s="1">
        <v>9.8999999999999994E-5</v>
      </c>
      <c r="U24" s="1"/>
      <c r="W24">
        <v>5.2999999999999999E-2</v>
      </c>
      <c r="X24">
        <v>4.9000000000000002E-2</v>
      </c>
      <c r="Y24">
        <v>4.9000000000000002E-2</v>
      </c>
      <c r="Z24">
        <v>4.0330000000000004</v>
      </c>
      <c r="AA24">
        <v>5.7000000000000002E-2</v>
      </c>
      <c r="AD24">
        <v>5.0999999999999997E-2</v>
      </c>
      <c r="AE24">
        <v>5.1999999999999998E-2</v>
      </c>
      <c r="AF24">
        <v>4.9000000000000002E-2</v>
      </c>
      <c r="AG24">
        <v>4.7E-2</v>
      </c>
      <c r="AH24">
        <v>4.9000000000000002E-2</v>
      </c>
      <c r="AK24">
        <v>6.6000000000000003E-2</v>
      </c>
      <c r="AL24">
        <v>5.6000000000000001E-2</v>
      </c>
      <c r="AM24">
        <v>5.0999999999999997E-2</v>
      </c>
      <c r="AN24">
        <v>5.0999999999999997E-2</v>
      </c>
      <c r="AO24">
        <v>4.9000000000000002E-2</v>
      </c>
    </row>
    <row r="25" spans="1:41" hidden="1">
      <c r="A25">
        <v>23</v>
      </c>
      <c r="B25">
        <v>5.5E-2</v>
      </c>
      <c r="C25" s="1">
        <v>5.5000000000000002E-5</v>
      </c>
      <c r="D25" s="1">
        <v>5.3999999999999998E-5</v>
      </c>
      <c r="E25" s="1">
        <v>5.3000000000000001E-5</v>
      </c>
      <c r="F25" s="1">
        <v>5.1999999999999997E-5</v>
      </c>
      <c r="G25" s="1"/>
      <c r="I25">
        <v>6.6000000000000003E-2</v>
      </c>
      <c r="J25" s="1">
        <v>7.1000000000000005E-5</v>
      </c>
      <c r="K25" s="1">
        <v>7.1000000000000005E-5</v>
      </c>
      <c r="L25" s="1">
        <v>6.6000000000000005E-5</v>
      </c>
      <c r="M25" s="1">
        <v>6.7999999999999999E-5</v>
      </c>
      <c r="N25" s="1"/>
      <c r="P25">
        <v>7.9000000000000001E-2</v>
      </c>
      <c r="Q25" s="1">
        <v>9.0000000000000006E-5</v>
      </c>
      <c r="R25" s="1">
        <v>6.3999999999999997E-5</v>
      </c>
      <c r="S25" s="1">
        <v>6.7999999999999999E-5</v>
      </c>
      <c r="T25" s="1">
        <v>6.8999999999999997E-5</v>
      </c>
      <c r="U25" s="1"/>
      <c r="W25">
        <v>5.6000000000000001E-2</v>
      </c>
      <c r="X25">
        <v>5.3999999999999999E-2</v>
      </c>
      <c r="Y25">
        <v>5.3999999999999999E-2</v>
      </c>
      <c r="Z25">
        <v>5.1999999999999998E-2</v>
      </c>
      <c r="AA25">
        <v>0.16300000000000001</v>
      </c>
      <c r="AD25">
        <v>0.13400000000000001</v>
      </c>
      <c r="AE25">
        <v>4.8000000000000001E-2</v>
      </c>
      <c r="AF25">
        <v>4.8000000000000001E-2</v>
      </c>
      <c r="AG25">
        <v>4.8000000000000001E-2</v>
      </c>
      <c r="AH25">
        <v>0.05</v>
      </c>
      <c r="AK25">
        <v>5.8000000000000003E-2</v>
      </c>
      <c r="AL25">
        <v>5.6000000000000001E-2</v>
      </c>
      <c r="AM25">
        <v>0.05</v>
      </c>
      <c r="AN25">
        <v>4.8000000000000001E-2</v>
      </c>
      <c r="AO25">
        <v>4.9000000000000002E-2</v>
      </c>
    </row>
    <row r="26" spans="1:41" hidden="1">
      <c r="A26">
        <v>24</v>
      </c>
      <c r="B26">
        <v>5.5E-2</v>
      </c>
      <c r="C26" s="1">
        <v>5.5000000000000002E-5</v>
      </c>
      <c r="D26" s="1">
        <v>5.1999999999999997E-5</v>
      </c>
      <c r="E26" s="1">
        <v>5.3000000000000001E-5</v>
      </c>
      <c r="F26" s="1">
        <v>5.1999999999999997E-5</v>
      </c>
      <c r="G26" s="1"/>
      <c r="I26">
        <v>7.0999999999999994E-2</v>
      </c>
      <c r="J26" s="1">
        <v>6.8999999999999997E-5</v>
      </c>
      <c r="K26">
        <v>2.12E-4</v>
      </c>
      <c r="L26" s="1">
        <v>6.3E-5</v>
      </c>
      <c r="M26" s="1">
        <v>8.2000000000000001E-5</v>
      </c>
      <c r="N26" s="1"/>
      <c r="P26">
        <v>6.4000000000000001E-2</v>
      </c>
      <c r="Q26" s="1">
        <v>6.7999999999999999E-5</v>
      </c>
      <c r="R26">
        <v>1.415E-3</v>
      </c>
      <c r="S26" s="1">
        <v>6.7000000000000002E-5</v>
      </c>
      <c r="T26" s="1">
        <v>6.0000000000000002E-5</v>
      </c>
      <c r="U26" s="1"/>
      <c r="W26">
        <v>5.3999999999999999E-2</v>
      </c>
      <c r="X26">
        <v>5.5E-2</v>
      </c>
      <c r="Y26">
        <v>0.05</v>
      </c>
      <c r="Z26">
        <v>4.8000000000000001E-2</v>
      </c>
      <c r="AA26">
        <v>4.9000000000000002E-2</v>
      </c>
      <c r="AD26">
        <v>0.05</v>
      </c>
      <c r="AE26">
        <v>0.05</v>
      </c>
      <c r="AF26">
        <v>4.9000000000000002E-2</v>
      </c>
      <c r="AG26">
        <v>4.8000000000000001E-2</v>
      </c>
      <c r="AH26">
        <v>0.14799999999999999</v>
      </c>
      <c r="AK26">
        <v>5.0999999999999997E-2</v>
      </c>
      <c r="AL26">
        <v>0.05</v>
      </c>
      <c r="AM26">
        <v>4.9000000000000002E-2</v>
      </c>
      <c r="AN26">
        <v>0.17699999999999999</v>
      </c>
      <c r="AO26">
        <v>5.0999999999999997E-2</v>
      </c>
    </row>
    <row r="27" spans="1:41" hidden="1">
      <c r="A27">
        <v>25</v>
      </c>
      <c r="B27">
        <v>0.38700000000000001</v>
      </c>
      <c r="C27" s="1">
        <v>9.1000000000000003E-5</v>
      </c>
      <c r="D27" s="1">
        <v>5.3999999999999998E-5</v>
      </c>
      <c r="E27" s="1">
        <v>5.3999999999999998E-5</v>
      </c>
      <c r="F27">
        <v>5.8320000000000004E-3</v>
      </c>
      <c r="H27" s="1"/>
      <c r="I27">
        <v>7.0000000000000007E-2</v>
      </c>
      <c r="J27" s="1">
        <v>6.6000000000000005E-5</v>
      </c>
      <c r="K27" s="1">
        <v>6.4999999999999994E-5</v>
      </c>
      <c r="L27" s="1">
        <v>5.3000000000000001E-5</v>
      </c>
      <c r="M27" s="1">
        <v>5.3000000000000001E-5</v>
      </c>
      <c r="N27" s="1"/>
      <c r="P27">
        <v>6.5000000000000002E-2</v>
      </c>
      <c r="Q27">
        <v>2.0799999999999999E-4</v>
      </c>
      <c r="R27">
        <v>1.2210000000000001E-3</v>
      </c>
      <c r="S27" s="1">
        <v>9.1000000000000003E-5</v>
      </c>
      <c r="T27" s="1">
        <v>6.7999999999999999E-5</v>
      </c>
      <c r="U27" s="1"/>
      <c r="W27">
        <v>5.0999999999999997E-2</v>
      </c>
      <c r="X27">
        <v>5.3999999999999999E-2</v>
      </c>
      <c r="Y27">
        <v>0.16400000000000001</v>
      </c>
      <c r="Z27">
        <v>0.157</v>
      </c>
      <c r="AA27">
        <v>0.05</v>
      </c>
      <c r="AD27">
        <v>7.2999999999999995E-2</v>
      </c>
      <c r="AE27">
        <v>4.9000000000000002E-2</v>
      </c>
      <c r="AF27">
        <v>0.05</v>
      </c>
      <c r="AG27">
        <v>0.69799999999999995</v>
      </c>
      <c r="AH27">
        <v>4.9000000000000002E-2</v>
      </c>
      <c r="AK27">
        <v>5.1999999999999998E-2</v>
      </c>
      <c r="AL27">
        <v>4.9000000000000002E-2</v>
      </c>
      <c r="AM27">
        <v>4.9000000000000002E-2</v>
      </c>
      <c r="AN27">
        <v>4.8000000000000001E-2</v>
      </c>
      <c r="AO27">
        <v>4.9000000000000002E-2</v>
      </c>
    </row>
    <row r="28" spans="1:41" hidden="1">
      <c r="A28">
        <v>26</v>
      </c>
      <c r="B28">
        <v>0.313</v>
      </c>
      <c r="C28" s="1">
        <v>5.8999999999999998E-5</v>
      </c>
      <c r="D28" s="1">
        <v>6.0000000000000002E-5</v>
      </c>
      <c r="E28" s="1">
        <v>5.5999999999999999E-5</v>
      </c>
      <c r="F28" s="1">
        <v>5.3999999999999998E-5</v>
      </c>
      <c r="G28" s="1"/>
      <c r="H28" s="1"/>
      <c r="I28">
        <v>5.7000000000000002E-2</v>
      </c>
      <c r="J28" s="1">
        <v>7.1000000000000005E-5</v>
      </c>
      <c r="K28" s="1">
        <v>5.3999999999999998E-5</v>
      </c>
      <c r="L28" s="1">
        <v>5.3000000000000001E-5</v>
      </c>
      <c r="M28" s="1">
        <v>5.3000000000000001E-5</v>
      </c>
      <c r="N28" s="1"/>
      <c r="P28">
        <v>6.2E-2</v>
      </c>
      <c r="Q28" s="1">
        <v>6.0999999999999999E-5</v>
      </c>
      <c r="R28" s="1">
        <v>5.8E-5</v>
      </c>
      <c r="S28" s="1">
        <v>5.7000000000000003E-5</v>
      </c>
      <c r="T28" s="1">
        <v>6.0999999999999999E-5</v>
      </c>
      <c r="U28" s="1"/>
      <c r="W28">
        <v>5.7000000000000002E-2</v>
      </c>
      <c r="X28">
        <v>0.05</v>
      </c>
      <c r="Y28">
        <v>5.1999999999999998E-2</v>
      </c>
      <c r="Z28">
        <v>8.2000000000000003E-2</v>
      </c>
      <c r="AA28">
        <v>5.8999999999999997E-2</v>
      </c>
      <c r="AD28">
        <v>5.0999999999999997E-2</v>
      </c>
      <c r="AE28">
        <v>4.8000000000000001E-2</v>
      </c>
      <c r="AF28">
        <v>0.154</v>
      </c>
      <c r="AG28">
        <v>4.9000000000000002E-2</v>
      </c>
      <c r="AH28">
        <v>4.9000000000000002E-2</v>
      </c>
      <c r="AK28">
        <v>5.0999999999999997E-2</v>
      </c>
      <c r="AL28">
        <v>4.8000000000000001E-2</v>
      </c>
      <c r="AM28">
        <v>0.151</v>
      </c>
      <c r="AN28">
        <v>4.9000000000000002E-2</v>
      </c>
      <c r="AO28">
        <v>4.9000000000000002E-2</v>
      </c>
    </row>
    <row r="29" spans="1:41" hidden="1">
      <c r="A29">
        <v>27</v>
      </c>
      <c r="B29">
        <v>5.6000000000000001E-2</v>
      </c>
      <c r="C29" s="1">
        <v>5.5000000000000002E-5</v>
      </c>
      <c r="D29" s="1">
        <v>5.3999999999999998E-5</v>
      </c>
      <c r="E29" s="1">
        <v>5.3000000000000001E-5</v>
      </c>
      <c r="F29" s="1">
        <v>5.1999999999999997E-5</v>
      </c>
      <c r="G29" s="1"/>
      <c r="H29" s="1"/>
      <c r="I29">
        <v>5.7000000000000002E-2</v>
      </c>
      <c r="J29" s="1">
        <v>5.5999999999999999E-5</v>
      </c>
      <c r="K29" s="1">
        <v>5.3000000000000001E-5</v>
      </c>
      <c r="L29" s="1">
        <v>5.1999999999999997E-5</v>
      </c>
      <c r="M29">
        <v>3.0600000000000001E-4</v>
      </c>
      <c r="P29">
        <v>5.8000000000000003E-2</v>
      </c>
      <c r="Q29" s="1">
        <v>6.0999999999999999E-5</v>
      </c>
      <c r="R29" s="1">
        <v>5.8E-5</v>
      </c>
      <c r="S29" s="1">
        <v>5.3999999999999998E-5</v>
      </c>
      <c r="T29" s="1">
        <v>5.3999999999999998E-5</v>
      </c>
      <c r="U29" s="1"/>
      <c r="W29">
        <v>0.14199999999999999</v>
      </c>
      <c r="X29">
        <v>0.05</v>
      </c>
      <c r="Y29">
        <v>4.9000000000000002E-2</v>
      </c>
      <c r="Z29">
        <v>4.8000000000000001E-2</v>
      </c>
      <c r="AA29">
        <v>5.2999999999999999E-2</v>
      </c>
      <c r="AD29">
        <v>5.0999999999999997E-2</v>
      </c>
      <c r="AE29">
        <v>5.5E-2</v>
      </c>
      <c r="AF29">
        <v>4.9000000000000002E-2</v>
      </c>
      <c r="AG29">
        <v>5.0999999999999997E-2</v>
      </c>
      <c r="AH29">
        <v>4.8000000000000001E-2</v>
      </c>
      <c r="AK29">
        <v>5.0999999999999997E-2</v>
      </c>
      <c r="AL29">
        <v>5.3999999999999999E-2</v>
      </c>
      <c r="AM29">
        <v>0.05</v>
      </c>
      <c r="AN29">
        <v>4.8000000000000001E-2</v>
      </c>
      <c r="AO29">
        <v>4.9000000000000002E-2</v>
      </c>
    </row>
    <row r="30" spans="1:41" hidden="1">
      <c r="A30">
        <v>28</v>
      </c>
      <c r="B30">
        <v>5.7000000000000002E-2</v>
      </c>
      <c r="C30" s="1">
        <v>5.5000000000000002E-5</v>
      </c>
      <c r="D30" s="1">
        <v>5.3000000000000001E-5</v>
      </c>
      <c r="E30" s="1">
        <v>5.3000000000000001E-5</v>
      </c>
      <c r="F30" s="1">
        <v>5.3000000000000001E-5</v>
      </c>
      <c r="G30" s="1"/>
      <c r="H30" s="1"/>
      <c r="I30">
        <v>7.625</v>
      </c>
      <c r="J30">
        <v>4.7199999999999998E-4</v>
      </c>
      <c r="K30" s="1">
        <v>5.8E-5</v>
      </c>
      <c r="L30" s="1">
        <v>5.5000000000000002E-5</v>
      </c>
      <c r="M30" s="1">
        <v>5.5000000000000002E-5</v>
      </c>
      <c r="N30" s="1"/>
      <c r="P30">
        <v>5.6000000000000001E-2</v>
      </c>
      <c r="Q30" s="1">
        <v>5.5999999999999999E-5</v>
      </c>
      <c r="R30" s="1">
        <v>5.3000000000000001E-5</v>
      </c>
      <c r="S30">
        <v>3.1500000000000001E-4</v>
      </c>
      <c r="T30" s="1">
        <v>5.3999999999999998E-5</v>
      </c>
      <c r="U30" s="1"/>
      <c r="W30">
        <v>5.6000000000000001E-2</v>
      </c>
      <c r="X30">
        <v>4.9000000000000002E-2</v>
      </c>
      <c r="Y30">
        <v>5.3999999999999999E-2</v>
      </c>
      <c r="Z30">
        <v>5.7000000000000002E-2</v>
      </c>
      <c r="AA30">
        <v>5.8999999999999997E-2</v>
      </c>
      <c r="AD30">
        <v>5.1999999999999998E-2</v>
      </c>
      <c r="AE30">
        <v>4.8000000000000001E-2</v>
      </c>
      <c r="AF30">
        <v>8.9719999999999995</v>
      </c>
      <c r="AG30">
        <v>0.873</v>
      </c>
      <c r="AH30">
        <v>0.105</v>
      </c>
      <c r="AK30">
        <v>5.1999999999999998E-2</v>
      </c>
      <c r="AL30">
        <v>0.05</v>
      </c>
      <c r="AM30">
        <v>5.8000000000000003E-2</v>
      </c>
      <c r="AN30">
        <v>5.2999999999999999E-2</v>
      </c>
      <c r="AO30">
        <v>4.9000000000000002E-2</v>
      </c>
    </row>
    <row r="31" spans="1:41" hidden="1">
      <c r="A31">
        <v>29</v>
      </c>
      <c r="B31">
        <v>5.7000000000000002E-2</v>
      </c>
      <c r="C31">
        <v>1.76E-4</v>
      </c>
      <c r="D31" s="1">
        <v>5.5999999999999999E-5</v>
      </c>
      <c r="E31" s="1">
        <v>5.5000000000000002E-5</v>
      </c>
      <c r="F31" s="1">
        <v>5.1999999999999997E-5</v>
      </c>
      <c r="G31" s="1"/>
      <c r="H31" s="1"/>
      <c r="I31">
        <v>5.7000000000000002E-2</v>
      </c>
      <c r="J31" s="1">
        <v>5.5000000000000002E-5</v>
      </c>
      <c r="K31">
        <v>6.5750000000000001E-3</v>
      </c>
      <c r="L31" s="1">
        <v>5.7000000000000003E-5</v>
      </c>
      <c r="M31" s="1">
        <v>5.8E-5</v>
      </c>
      <c r="N31" s="1"/>
      <c r="P31">
        <v>6.3E-2</v>
      </c>
      <c r="Q31" s="1">
        <v>5.7000000000000003E-5</v>
      </c>
      <c r="R31" s="1">
        <v>5.8999999999999998E-5</v>
      </c>
      <c r="S31" s="1">
        <v>5.3999999999999998E-5</v>
      </c>
      <c r="T31" s="1">
        <v>8.2999999999999998E-5</v>
      </c>
      <c r="U31" s="1"/>
      <c r="W31">
        <v>5.8000000000000003E-2</v>
      </c>
      <c r="X31">
        <v>0.05</v>
      </c>
      <c r="Y31">
        <v>4.9000000000000002E-2</v>
      </c>
      <c r="Z31">
        <v>4.9000000000000002E-2</v>
      </c>
      <c r="AA31">
        <v>4.8000000000000001E-2</v>
      </c>
      <c r="AD31">
        <v>0.115</v>
      </c>
      <c r="AE31">
        <v>0.107</v>
      </c>
      <c r="AF31">
        <v>0.105</v>
      </c>
      <c r="AG31">
        <v>8.8999999999999996E-2</v>
      </c>
      <c r="AH31">
        <v>0.09</v>
      </c>
      <c r="AK31">
        <v>0.05</v>
      </c>
      <c r="AL31">
        <v>4.8000000000000001E-2</v>
      </c>
      <c r="AM31">
        <v>0.05</v>
      </c>
      <c r="AN31">
        <v>5.3999999999999999E-2</v>
      </c>
      <c r="AO31">
        <v>5.3999999999999999E-2</v>
      </c>
    </row>
    <row r="32" spans="1:41" hidden="1">
      <c r="A32">
        <v>30</v>
      </c>
      <c r="B32">
        <v>5.6000000000000001E-2</v>
      </c>
      <c r="C32" s="1">
        <v>5.5000000000000002E-5</v>
      </c>
      <c r="D32" s="1">
        <v>5.3000000000000001E-5</v>
      </c>
      <c r="E32" s="1">
        <v>5.1999999999999997E-5</v>
      </c>
      <c r="F32" s="1">
        <v>5.3000000000000001E-5</v>
      </c>
      <c r="G32" s="1"/>
      <c r="H32" s="1"/>
      <c r="I32">
        <v>6.0999999999999999E-2</v>
      </c>
      <c r="J32" s="1">
        <v>6.0999999999999999E-5</v>
      </c>
      <c r="K32" s="1">
        <v>5.7000000000000003E-5</v>
      </c>
      <c r="L32" s="1">
        <v>5.8E-5</v>
      </c>
      <c r="M32" s="1">
        <v>8.2999999999999998E-5</v>
      </c>
      <c r="N32" s="1"/>
      <c r="P32">
        <v>5.7000000000000002E-2</v>
      </c>
      <c r="Q32">
        <v>2.6200000000000003E-4</v>
      </c>
      <c r="R32">
        <v>9.859999999999999E-4</v>
      </c>
      <c r="S32" s="1">
        <v>5.5000000000000002E-5</v>
      </c>
      <c r="T32" s="1">
        <v>6.0000000000000002E-5</v>
      </c>
      <c r="U32" s="1"/>
      <c r="W32">
        <v>5.0999999999999997E-2</v>
      </c>
      <c r="X32">
        <v>4.8000000000000001E-2</v>
      </c>
      <c r="Y32">
        <v>5.2999999999999999E-2</v>
      </c>
      <c r="Z32">
        <v>4.8000000000000001E-2</v>
      </c>
      <c r="AA32">
        <v>4.9000000000000002E-2</v>
      </c>
      <c r="AD32">
        <v>9.6000000000000002E-2</v>
      </c>
      <c r="AE32">
        <v>0.08</v>
      </c>
      <c r="AF32">
        <v>7.9000000000000001E-2</v>
      </c>
      <c r="AG32">
        <v>7.6999999999999999E-2</v>
      </c>
      <c r="AH32">
        <v>7.8E-2</v>
      </c>
      <c r="AK32">
        <v>5.6000000000000001E-2</v>
      </c>
      <c r="AL32">
        <v>4.9000000000000002E-2</v>
      </c>
      <c r="AM32">
        <v>4.7E-2</v>
      </c>
      <c r="AN32">
        <v>4.8000000000000001E-2</v>
      </c>
      <c r="AO32">
        <v>1.429</v>
      </c>
    </row>
    <row r="33" spans="1:41" hidden="1">
      <c r="A33">
        <v>31</v>
      </c>
      <c r="B33">
        <v>30.164000000000001</v>
      </c>
      <c r="C33">
        <v>4.2000000000000002E-4</v>
      </c>
      <c r="D33" s="1">
        <v>5.5000000000000002E-5</v>
      </c>
      <c r="E33" s="1">
        <v>5.5999999999999999E-5</v>
      </c>
      <c r="F33" s="1">
        <v>6.0000000000000002E-5</v>
      </c>
      <c r="G33" s="1"/>
      <c r="H33" s="1"/>
      <c r="I33">
        <v>0.54400000000000004</v>
      </c>
      <c r="J33" s="1">
        <v>5.7000000000000003E-5</v>
      </c>
      <c r="K33">
        <v>1.34E-4</v>
      </c>
      <c r="L33" s="1">
        <v>5.3999999999999998E-5</v>
      </c>
      <c r="M33">
        <v>4.7600000000000002E-4</v>
      </c>
      <c r="P33">
        <v>6.0999999999999999E-2</v>
      </c>
      <c r="Q33" s="1">
        <v>5.5000000000000002E-5</v>
      </c>
      <c r="R33">
        <v>7.7260000000000002E-3</v>
      </c>
      <c r="S33" s="1">
        <v>5.5000000000000002E-5</v>
      </c>
      <c r="T33" s="1">
        <v>5.3999999999999998E-5</v>
      </c>
      <c r="U33" s="1"/>
      <c r="W33">
        <v>0.05</v>
      </c>
      <c r="X33">
        <v>4.8000000000000001E-2</v>
      </c>
      <c r="Y33">
        <v>4.8000000000000001E-2</v>
      </c>
      <c r="Z33">
        <v>4.8000000000000001E-2</v>
      </c>
      <c r="AA33">
        <v>5.1999999999999998E-2</v>
      </c>
      <c r="AD33">
        <v>8.7999999999999995E-2</v>
      </c>
      <c r="AE33">
        <v>7.8E-2</v>
      </c>
      <c r="AF33">
        <v>7.9000000000000001E-2</v>
      </c>
      <c r="AG33">
        <v>7.5999999999999998E-2</v>
      </c>
      <c r="AH33">
        <v>7.5999999999999998E-2</v>
      </c>
      <c r="AK33">
        <v>5.1999999999999998E-2</v>
      </c>
      <c r="AL33">
        <v>4.9000000000000002E-2</v>
      </c>
      <c r="AM33">
        <v>0.05</v>
      </c>
      <c r="AN33">
        <v>4.8000000000000001E-2</v>
      </c>
      <c r="AO33">
        <v>4.8000000000000001E-2</v>
      </c>
    </row>
    <row r="34" spans="1:41" hidden="1">
      <c r="A34">
        <v>32</v>
      </c>
      <c r="B34">
        <v>5.6000000000000001E-2</v>
      </c>
      <c r="C34" s="1">
        <v>5.5999999999999999E-5</v>
      </c>
      <c r="D34" s="1">
        <v>5.8E-5</v>
      </c>
      <c r="E34" s="1">
        <v>2.81E-4</v>
      </c>
      <c r="F34" s="1">
        <v>5.5999999999999999E-5</v>
      </c>
      <c r="G34" s="1"/>
      <c r="H34" s="1"/>
      <c r="I34">
        <v>5.8000000000000003E-2</v>
      </c>
      <c r="J34" s="1">
        <v>5.5000000000000002E-5</v>
      </c>
      <c r="K34" s="1">
        <v>5.1999999999999997E-5</v>
      </c>
      <c r="L34">
        <v>2.5999999999999998E-4</v>
      </c>
      <c r="M34" s="1">
        <v>9.8999999999999994E-5</v>
      </c>
      <c r="N34" s="1"/>
      <c r="P34">
        <v>5.6000000000000001E-2</v>
      </c>
      <c r="Q34" s="1">
        <v>5.5999999999999999E-5</v>
      </c>
      <c r="R34" s="1">
        <v>5.3000000000000001E-5</v>
      </c>
      <c r="S34" s="1">
        <v>5.1999999999999997E-5</v>
      </c>
      <c r="T34" s="1">
        <v>5.1999999999999997E-5</v>
      </c>
      <c r="U34" s="1"/>
      <c r="W34">
        <v>5.1999999999999998E-2</v>
      </c>
      <c r="X34">
        <v>9.6000000000000002E-2</v>
      </c>
      <c r="Y34">
        <v>5.5E-2</v>
      </c>
      <c r="Z34">
        <v>5.2999999999999999E-2</v>
      </c>
      <c r="AA34">
        <v>4.8000000000000001E-2</v>
      </c>
      <c r="AD34">
        <v>7.3999999999999996E-2</v>
      </c>
      <c r="AE34">
        <v>7.8E-2</v>
      </c>
      <c r="AF34">
        <v>7.1999999999999995E-2</v>
      </c>
      <c r="AG34">
        <v>7.1999999999999995E-2</v>
      </c>
      <c r="AH34">
        <v>0.106</v>
      </c>
      <c r="AK34">
        <v>7.3999999999999996E-2</v>
      </c>
      <c r="AL34">
        <v>4.8000000000000001E-2</v>
      </c>
      <c r="AM34">
        <v>4.8000000000000001E-2</v>
      </c>
      <c r="AN34">
        <v>0.05</v>
      </c>
      <c r="AO34">
        <v>4.8000000000000001E-2</v>
      </c>
    </row>
    <row r="35" spans="1:41" hidden="1">
      <c r="A35">
        <v>33</v>
      </c>
      <c r="B35">
        <v>5.7000000000000002E-2</v>
      </c>
      <c r="C35" s="1">
        <v>5.7000000000000003E-5</v>
      </c>
      <c r="D35" s="1">
        <v>5.3000000000000001E-5</v>
      </c>
      <c r="E35" s="1">
        <v>3.5300000000000002E-4</v>
      </c>
      <c r="F35" s="1">
        <v>5.3000000000000001E-5</v>
      </c>
      <c r="G35" s="1"/>
      <c r="H35" s="1"/>
      <c r="I35">
        <v>0.06</v>
      </c>
      <c r="J35" s="1">
        <v>7.7000000000000001E-5</v>
      </c>
      <c r="K35" s="1">
        <v>6.0999999999999999E-5</v>
      </c>
      <c r="L35" s="1">
        <v>5.8E-5</v>
      </c>
      <c r="M35" s="1">
        <v>5.1999999999999997E-5</v>
      </c>
      <c r="N35" s="1"/>
      <c r="P35">
        <v>5.8999999999999997E-2</v>
      </c>
      <c r="Q35" s="1">
        <v>5.5000000000000002E-5</v>
      </c>
      <c r="R35" s="1">
        <v>5.3000000000000001E-5</v>
      </c>
      <c r="S35" s="1">
        <v>5.3000000000000001E-5</v>
      </c>
      <c r="T35" s="1">
        <v>5.8E-5</v>
      </c>
      <c r="U35" s="1"/>
      <c r="W35">
        <v>5.8000000000000003E-2</v>
      </c>
      <c r="X35">
        <v>5.7000000000000002E-2</v>
      </c>
      <c r="Y35">
        <v>4.9000000000000002E-2</v>
      </c>
      <c r="Z35">
        <v>4.8000000000000001E-2</v>
      </c>
      <c r="AA35">
        <v>11.065</v>
      </c>
      <c r="AD35">
        <v>7.5999999999999998E-2</v>
      </c>
      <c r="AE35">
        <v>7.4999999999999997E-2</v>
      </c>
      <c r="AF35">
        <v>0.14899999999999999</v>
      </c>
      <c r="AG35">
        <v>7.1999999999999995E-2</v>
      </c>
      <c r="AH35">
        <v>7.6999999999999999E-2</v>
      </c>
      <c r="AK35">
        <v>5.0999999999999997E-2</v>
      </c>
      <c r="AL35">
        <v>0.17799999999999999</v>
      </c>
      <c r="AM35">
        <v>5.1999999999999998E-2</v>
      </c>
      <c r="AN35">
        <v>5.6000000000000001E-2</v>
      </c>
      <c r="AO35">
        <v>5.2999999999999999E-2</v>
      </c>
    </row>
    <row r="36" spans="1:41" hidden="1">
      <c r="A36">
        <v>34</v>
      </c>
      <c r="B36">
        <v>5.5E-2</v>
      </c>
      <c r="C36" s="1">
        <v>5.3999999999999998E-5</v>
      </c>
      <c r="D36" s="1">
        <v>5.3000000000000001E-5</v>
      </c>
      <c r="E36" s="1">
        <v>3.7339999999999999E-3</v>
      </c>
      <c r="F36" s="1">
        <v>5.5000000000000002E-5</v>
      </c>
      <c r="G36" s="1"/>
      <c r="H36" s="1"/>
      <c r="I36">
        <v>5.8999999999999997E-2</v>
      </c>
      <c r="J36" s="1">
        <v>5.5999999999999999E-5</v>
      </c>
      <c r="K36" s="1">
        <v>5.8E-5</v>
      </c>
      <c r="L36" s="1">
        <v>8.7000000000000001E-5</v>
      </c>
      <c r="M36" s="1">
        <v>8.0000000000000007E-5</v>
      </c>
      <c r="N36" s="1"/>
      <c r="P36">
        <v>5.5E-2</v>
      </c>
      <c r="Q36" s="1">
        <v>5.5999999999999999E-5</v>
      </c>
      <c r="R36" s="1">
        <v>5.3999999999999998E-5</v>
      </c>
      <c r="S36" s="1">
        <v>5.3999999999999998E-5</v>
      </c>
      <c r="T36">
        <v>2.5900000000000001E-4</v>
      </c>
      <c r="W36">
        <v>0.60199999999999998</v>
      </c>
      <c r="X36">
        <v>5.6000000000000001E-2</v>
      </c>
      <c r="Y36">
        <v>5.1999999999999998E-2</v>
      </c>
      <c r="Z36">
        <v>5.6000000000000001E-2</v>
      </c>
      <c r="AA36">
        <v>5.2999999999999999E-2</v>
      </c>
      <c r="AD36">
        <v>6.8659999999999997</v>
      </c>
      <c r="AE36">
        <v>0.435</v>
      </c>
      <c r="AF36">
        <v>9.2999999999999999E-2</v>
      </c>
      <c r="AG36">
        <v>9.0999999999999998E-2</v>
      </c>
      <c r="AH36">
        <v>9.8000000000000004E-2</v>
      </c>
      <c r="AK36">
        <v>5.8000000000000003E-2</v>
      </c>
      <c r="AL36">
        <v>4.9000000000000002E-2</v>
      </c>
      <c r="AM36">
        <v>9.67</v>
      </c>
      <c r="AN36">
        <v>0.10299999999999999</v>
      </c>
      <c r="AO36">
        <v>0.10100000000000001</v>
      </c>
    </row>
    <row r="37" spans="1:41" hidden="1">
      <c r="A37">
        <v>35</v>
      </c>
      <c r="B37">
        <v>5.7000000000000002E-2</v>
      </c>
      <c r="C37" s="1">
        <v>5.5999999999999999E-5</v>
      </c>
      <c r="D37" s="1">
        <v>5.3000000000000001E-5</v>
      </c>
      <c r="E37" s="1">
        <v>5.3000000000000001E-5</v>
      </c>
      <c r="F37">
        <v>2.3599999999999999E-4</v>
      </c>
      <c r="H37" s="1"/>
      <c r="I37">
        <v>0.16</v>
      </c>
      <c r="J37" s="1">
        <v>5.8999999999999998E-5</v>
      </c>
      <c r="K37">
        <v>1.76E-4</v>
      </c>
      <c r="L37" s="1">
        <v>5.5000000000000002E-5</v>
      </c>
      <c r="M37" s="1">
        <v>5.3999999999999998E-5</v>
      </c>
      <c r="N37" s="1"/>
      <c r="P37">
        <v>6.0999999999999999E-2</v>
      </c>
      <c r="Q37" s="1">
        <v>6.0999999999999999E-5</v>
      </c>
      <c r="R37" s="1">
        <v>5.8999999999999998E-5</v>
      </c>
      <c r="S37" s="1">
        <v>6.0999999999999999E-5</v>
      </c>
      <c r="T37" s="1">
        <v>8.5000000000000006E-5</v>
      </c>
      <c r="U37" s="1"/>
      <c r="W37">
        <v>5.3999999999999999E-2</v>
      </c>
      <c r="X37">
        <v>5.1999999999999998E-2</v>
      </c>
      <c r="Y37">
        <v>5.0999999999999997E-2</v>
      </c>
      <c r="Z37">
        <v>0.34799999999999998</v>
      </c>
      <c r="AA37">
        <v>5.0999999999999997E-2</v>
      </c>
      <c r="AD37">
        <v>0.10299999999999999</v>
      </c>
      <c r="AE37">
        <v>9.7000000000000003E-2</v>
      </c>
      <c r="AF37">
        <v>9.7000000000000003E-2</v>
      </c>
      <c r="AG37">
        <v>9.4E-2</v>
      </c>
      <c r="AH37">
        <v>0.08</v>
      </c>
      <c r="AK37">
        <v>0.104</v>
      </c>
      <c r="AL37">
        <v>9.1999999999999998E-2</v>
      </c>
      <c r="AM37">
        <v>0.09</v>
      </c>
      <c r="AN37">
        <v>0.105</v>
      </c>
      <c r="AO37">
        <v>8.1000000000000003E-2</v>
      </c>
    </row>
    <row r="38" spans="1:41" hidden="1">
      <c r="A38">
        <v>36</v>
      </c>
      <c r="B38">
        <v>6.3E-2</v>
      </c>
      <c r="C38" s="1">
        <v>6.3E-5</v>
      </c>
      <c r="D38" s="1">
        <v>5.7000000000000003E-5</v>
      </c>
      <c r="E38" s="1">
        <v>5.8E-5</v>
      </c>
      <c r="F38" s="1">
        <v>6.0000000000000002E-5</v>
      </c>
      <c r="G38" s="1"/>
      <c r="H38" s="1"/>
      <c r="I38">
        <v>5.8000000000000003E-2</v>
      </c>
      <c r="J38" s="1">
        <v>5.5999999999999999E-5</v>
      </c>
      <c r="K38" s="1">
        <v>5.3999999999999998E-5</v>
      </c>
      <c r="L38" s="1">
        <v>5.1999999999999997E-5</v>
      </c>
      <c r="M38" s="1">
        <v>5.1999999999999997E-5</v>
      </c>
      <c r="N38" s="1"/>
      <c r="P38">
        <v>5.8000000000000003E-2</v>
      </c>
      <c r="Q38">
        <v>1.8799999999999999E-4</v>
      </c>
      <c r="R38" s="1">
        <v>5.7000000000000003E-5</v>
      </c>
      <c r="S38" s="1">
        <v>5.8E-5</v>
      </c>
      <c r="T38" s="1">
        <v>5.3000000000000001E-5</v>
      </c>
      <c r="U38" s="1"/>
      <c r="W38">
        <v>5.1999999999999998E-2</v>
      </c>
      <c r="X38">
        <v>0.05</v>
      </c>
      <c r="Y38">
        <v>4.9000000000000002E-2</v>
      </c>
      <c r="Z38">
        <v>0.28199999999999997</v>
      </c>
      <c r="AA38">
        <v>5.0999999999999997E-2</v>
      </c>
      <c r="AD38">
        <v>9.0999999999999998E-2</v>
      </c>
      <c r="AE38">
        <v>8.1000000000000003E-2</v>
      </c>
      <c r="AF38">
        <v>8.5000000000000006E-2</v>
      </c>
      <c r="AG38">
        <v>0.1</v>
      </c>
      <c r="AH38">
        <v>7.2999999999999995E-2</v>
      </c>
      <c r="AK38">
        <v>0.22500000000000001</v>
      </c>
      <c r="AL38">
        <v>9.6000000000000002E-2</v>
      </c>
      <c r="AM38">
        <v>8.1000000000000003E-2</v>
      </c>
      <c r="AN38">
        <v>7.9000000000000001E-2</v>
      </c>
      <c r="AO38">
        <v>8.7999999999999995E-2</v>
      </c>
    </row>
    <row r="39" spans="1:41" hidden="1">
      <c r="A39">
        <v>37</v>
      </c>
      <c r="B39">
        <v>6.3E-2</v>
      </c>
      <c r="C39" s="1">
        <v>6.0000000000000002E-5</v>
      </c>
      <c r="D39" s="1">
        <v>5.8E-5</v>
      </c>
      <c r="E39" s="1">
        <v>5.8999999999999998E-5</v>
      </c>
      <c r="F39" s="1">
        <v>1.47E-4</v>
      </c>
      <c r="G39" s="1"/>
      <c r="H39" s="1"/>
      <c r="I39">
        <v>5.5E-2</v>
      </c>
      <c r="J39" s="1">
        <v>5.5999999999999999E-5</v>
      </c>
      <c r="K39" s="1">
        <v>5.3999999999999998E-5</v>
      </c>
      <c r="L39" s="1">
        <v>9.5000000000000005E-5</v>
      </c>
      <c r="M39">
        <v>2.0000000000000001E-4</v>
      </c>
      <c r="P39">
        <v>0.06</v>
      </c>
      <c r="Q39" s="1">
        <v>6.0000000000000002E-5</v>
      </c>
      <c r="R39" s="1">
        <v>6.0000000000000002E-5</v>
      </c>
      <c r="S39" s="1">
        <v>5.7000000000000003E-5</v>
      </c>
      <c r="T39" s="1">
        <v>5.7000000000000003E-5</v>
      </c>
      <c r="U39" s="1"/>
      <c r="W39">
        <v>7.1999999999999995E-2</v>
      </c>
      <c r="X39">
        <v>8.7999999999999995E-2</v>
      </c>
      <c r="Y39">
        <v>4.9000000000000002E-2</v>
      </c>
      <c r="Z39">
        <v>4.8000000000000001E-2</v>
      </c>
      <c r="AA39">
        <v>4.9000000000000002E-2</v>
      </c>
      <c r="AD39">
        <v>9.1999999999999998E-2</v>
      </c>
      <c r="AE39">
        <v>7.1999999999999995E-2</v>
      </c>
      <c r="AF39">
        <v>7.3999999999999996E-2</v>
      </c>
      <c r="AG39">
        <v>0.23599999999999999</v>
      </c>
      <c r="AH39">
        <v>7.0000000000000007E-2</v>
      </c>
      <c r="AK39">
        <v>7.1999999999999995E-2</v>
      </c>
      <c r="AL39">
        <v>7.8E-2</v>
      </c>
      <c r="AM39">
        <v>7.4999999999999997E-2</v>
      </c>
      <c r="AN39">
        <v>9.0999999999999998E-2</v>
      </c>
      <c r="AO39">
        <v>0.129</v>
      </c>
    </row>
    <row r="40" spans="1:41" hidden="1">
      <c r="A40">
        <v>38</v>
      </c>
      <c r="B40">
        <v>6.0999999999999999E-2</v>
      </c>
      <c r="C40" s="1">
        <v>6.0000000000000002E-5</v>
      </c>
      <c r="D40" s="1">
        <v>5.8E-5</v>
      </c>
      <c r="E40" s="1">
        <v>6.0000000000000002E-5</v>
      </c>
      <c r="F40" s="1">
        <v>5.7000000000000003E-5</v>
      </c>
      <c r="G40" s="1"/>
      <c r="H40" s="1"/>
      <c r="I40">
        <v>5.7000000000000002E-2</v>
      </c>
      <c r="J40">
        <v>7.3300000000000004E-4</v>
      </c>
      <c r="K40" s="1">
        <v>5.5999999999999999E-5</v>
      </c>
      <c r="L40" s="1">
        <v>5.3999999999999998E-5</v>
      </c>
      <c r="M40" s="1">
        <v>5.1999999999999997E-5</v>
      </c>
      <c r="N40" s="1"/>
      <c r="P40">
        <v>6.3E-2</v>
      </c>
      <c r="Q40" s="1">
        <v>6.3E-5</v>
      </c>
      <c r="R40" s="1">
        <v>5.7000000000000003E-5</v>
      </c>
      <c r="S40" s="1">
        <v>5.7000000000000003E-5</v>
      </c>
      <c r="T40" s="1">
        <v>5.7000000000000003E-5</v>
      </c>
      <c r="U40" s="1"/>
      <c r="W40">
        <v>5.0999999999999997E-2</v>
      </c>
      <c r="X40">
        <v>4.9000000000000002E-2</v>
      </c>
      <c r="Y40">
        <v>4.9000000000000002E-2</v>
      </c>
      <c r="Z40">
        <v>4.8000000000000001E-2</v>
      </c>
      <c r="AA40">
        <v>0.05</v>
      </c>
      <c r="AD40">
        <v>7.9000000000000001E-2</v>
      </c>
      <c r="AE40">
        <v>7.5999999999999998E-2</v>
      </c>
      <c r="AF40">
        <v>7.0999999999999994E-2</v>
      </c>
      <c r="AG40">
        <v>6.8000000000000005E-2</v>
      </c>
      <c r="AH40">
        <v>6.9000000000000006E-2</v>
      </c>
      <c r="AK40">
        <v>7.3999999999999996E-2</v>
      </c>
      <c r="AL40">
        <v>7.0000000000000007E-2</v>
      </c>
      <c r="AM40">
        <v>6.9000000000000006E-2</v>
      </c>
      <c r="AN40">
        <v>6.8000000000000005E-2</v>
      </c>
      <c r="AO40">
        <v>6.7000000000000004E-2</v>
      </c>
    </row>
    <row r="41" spans="1:41" hidden="1">
      <c r="A41">
        <v>39</v>
      </c>
      <c r="B41">
        <v>5.5E-2</v>
      </c>
      <c r="C41" s="1">
        <v>6.0000000000000002E-5</v>
      </c>
      <c r="D41" s="1">
        <v>5.8E-5</v>
      </c>
      <c r="E41" s="1">
        <v>6.2000000000000003E-5</v>
      </c>
      <c r="F41" s="1">
        <v>5.8E-5</v>
      </c>
      <c r="G41" s="1"/>
      <c r="H41" s="1"/>
      <c r="I41">
        <v>5.5E-2</v>
      </c>
      <c r="J41">
        <v>2.1480000000000002E-3</v>
      </c>
      <c r="K41" s="1">
        <v>5.8E-5</v>
      </c>
      <c r="L41" s="1">
        <v>6.0000000000000002E-5</v>
      </c>
      <c r="M41" s="1">
        <v>6.0000000000000002E-5</v>
      </c>
      <c r="N41" s="1"/>
      <c r="P41">
        <v>6.0999999999999999E-2</v>
      </c>
      <c r="Q41" s="1">
        <v>6.0000000000000002E-5</v>
      </c>
      <c r="R41" s="1">
        <v>6.0000000000000002E-5</v>
      </c>
      <c r="S41" s="1">
        <v>6.0000000000000002E-5</v>
      </c>
      <c r="T41" s="1">
        <v>5.8999999999999998E-5</v>
      </c>
      <c r="U41" s="1"/>
      <c r="W41">
        <v>5.0999999999999997E-2</v>
      </c>
      <c r="X41">
        <v>4.8000000000000001E-2</v>
      </c>
      <c r="Y41">
        <v>4.8000000000000001E-2</v>
      </c>
      <c r="Z41">
        <v>4.7E-2</v>
      </c>
      <c r="AA41">
        <v>4.9000000000000002E-2</v>
      </c>
      <c r="AD41">
        <v>7.2999999999999995E-2</v>
      </c>
      <c r="AE41">
        <v>6.8000000000000005E-2</v>
      </c>
      <c r="AF41">
        <v>6.9000000000000006E-2</v>
      </c>
      <c r="AG41">
        <v>0.23400000000000001</v>
      </c>
      <c r="AH41">
        <v>7.0000000000000007E-2</v>
      </c>
      <c r="AK41">
        <v>7.0999999999999994E-2</v>
      </c>
      <c r="AL41">
        <v>6.8000000000000005E-2</v>
      </c>
      <c r="AM41">
        <v>7.0999999999999994E-2</v>
      </c>
      <c r="AN41">
        <v>9.1999999999999998E-2</v>
      </c>
      <c r="AO41">
        <v>9.5000000000000001E-2</v>
      </c>
    </row>
    <row r="42" spans="1:41" hidden="1">
      <c r="A42">
        <v>40</v>
      </c>
      <c r="B42">
        <v>0.06</v>
      </c>
      <c r="C42" s="1">
        <v>6.0000000000000002E-5</v>
      </c>
      <c r="D42" s="1">
        <v>5.8E-5</v>
      </c>
      <c r="E42" s="1">
        <v>5.8E-5</v>
      </c>
      <c r="F42" s="1">
        <v>5.7000000000000003E-5</v>
      </c>
      <c r="G42" s="1"/>
      <c r="H42" s="1"/>
      <c r="I42">
        <v>0.06</v>
      </c>
      <c r="J42" s="1">
        <v>6.0999999999999999E-5</v>
      </c>
      <c r="K42" s="1">
        <v>5.3999999999999998E-5</v>
      </c>
      <c r="L42" s="1">
        <v>5.3000000000000001E-5</v>
      </c>
      <c r="M42" s="1">
        <v>5.3000000000000001E-5</v>
      </c>
      <c r="N42" s="1"/>
      <c r="P42">
        <v>0.06</v>
      </c>
      <c r="Q42" s="1">
        <v>5.5000000000000002E-5</v>
      </c>
      <c r="R42" s="1">
        <v>5.3000000000000001E-5</v>
      </c>
      <c r="S42" s="1">
        <v>5.3000000000000001E-5</v>
      </c>
      <c r="T42" s="1">
        <v>5.3000000000000001E-5</v>
      </c>
      <c r="U42" s="1"/>
      <c r="W42">
        <v>4.9000000000000002E-2</v>
      </c>
      <c r="X42">
        <v>4.9000000000000002E-2</v>
      </c>
      <c r="Y42">
        <v>4.8000000000000001E-2</v>
      </c>
      <c r="Z42">
        <v>0.05</v>
      </c>
      <c r="AA42">
        <v>6.7000000000000004E-2</v>
      </c>
      <c r="AD42">
        <v>7.3999999999999996E-2</v>
      </c>
      <c r="AE42">
        <v>0.51800000000000002</v>
      </c>
      <c r="AF42">
        <v>7.1999999999999995E-2</v>
      </c>
      <c r="AG42">
        <v>6.8000000000000005E-2</v>
      </c>
      <c r="AH42">
        <v>5.718</v>
      </c>
      <c r="AK42">
        <v>7.0999999999999994E-2</v>
      </c>
      <c r="AL42">
        <v>6.8000000000000005E-2</v>
      </c>
      <c r="AM42">
        <v>6.8000000000000005E-2</v>
      </c>
      <c r="AN42">
        <v>6.7000000000000004E-2</v>
      </c>
      <c r="AO42">
        <v>6.9039999999999999</v>
      </c>
    </row>
    <row r="43" spans="1:41" hidden="1">
      <c r="A43">
        <v>41</v>
      </c>
      <c r="B43">
        <v>5.8999999999999997E-2</v>
      </c>
      <c r="C43">
        <v>1.44E-4</v>
      </c>
      <c r="D43" s="1">
        <v>5.3999999999999998E-5</v>
      </c>
      <c r="E43" s="1">
        <v>5.8E-5</v>
      </c>
      <c r="F43" s="1">
        <v>5.3000000000000001E-5</v>
      </c>
      <c r="G43" s="1"/>
      <c r="I43">
        <v>5.5E-2</v>
      </c>
      <c r="J43">
        <v>4.1899999999999999E-4</v>
      </c>
      <c r="K43" s="1">
        <v>5.7000000000000003E-5</v>
      </c>
      <c r="L43" s="1">
        <v>5.3000000000000001E-5</v>
      </c>
      <c r="M43">
        <v>4.7699999999999999E-4</v>
      </c>
      <c r="P43">
        <v>5.8999999999999997E-2</v>
      </c>
      <c r="Q43" s="1">
        <v>5.5999999999999999E-5</v>
      </c>
      <c r="R43" s="1">
        <v>5.3000000000000001E-5</v>
      </c>
      <c r="S43" s="1">
        <v>9.2E-5</v>
      </c>
      <c r="T43">
        <v>1.6819999999999999E-3</v>
      </c>
      <c r="W43">
        <v>5.0999999999999997E-2</v>
      </c>
      <c r="X43">
        <v>4.8000000000000001E-2</v>
      </c>
      <c r="Y43">
        <v>4.9000000000000002E-2</v>
      </c>
      <c r="Z43">
        <v>0.05</v>
      </c>
      <c r="AA43">
        <v>4.9000000000000002E-2</v>
      </c>
      <c r="AD43">
        <v>0.14799999999999999</v>
      </c>
      <c r="AE43">
        <v>7.3999999999999996E-2</v>
      </c>
      <c r="AF43">
        <v>6.9000000000000006E-2</v>
      </c>
      <c r="AG43">
        <v>6.7000000000000004E-2</v>
      </c>
      <c r="AH43">
        <v>5.843</v>
      </c>
      <c r="AK43">
        <v>0.106</v>
      </c>
      <c r="AL43">
        <v>0.10199999999999999</v>
      </c>
      <c r="AM43">
        <v>9.2999999999999999E-2</v>
      </c>
      <c r="AN43">
        <v>9.0999999999999998E-2</v>
      </c>
      <c r="AO43">
        <v>0.09</v>
      </c>
    </row>
    <row r="44" spans="1:41" hidden="1">
      <c r="A44">
        <v>42</v>
      </c>
      <c r="B44">
        <v>5.5E-2</v>
      </c>
      <c r="C44" s="1">
        <v>5.8999999999999998E-5</v>
      </c>
      <c r="D44" s="1">
        <v>8.1790000000000005E-3</v>
      </c>
      <c r="E44" s="1">
        <v>7.9699999999999997E-4</v>
      </c>
      <c r="F44" s="1">
        <v>7.6000000000000004E-5</v>
      </c>
      <c r="G44" s="1"/>
      <c r="H44" s="1"/>
      <c r="I44">
        <v>5.8000000000000003E-2</v>
      </c>
      <c r="J44" s="1">
        <v>5.5999999999999999E-5</v>
      </c>
      <c r="K44" s="1">
        <v>5.3999999999999998E-5</v>
      </c>
      <c r="L44" s="1">
        <v>5.1999999999999997E-5</v>
      </c>
      <c r="M44" s="1">
        <v>5.3000000000000001E-5</v>
      </c>
      <c r="N44" s="1"/>
      <c r="P44">
        <v>7.6999999999999999E-2</v>
      </c>
      <c r="Q44" s="1">
        <v>8.7999999999999998E-5</v>
      </c>
      <c r="R44" s="1">
        <v>7.4999999999999993E-5</v>
      </c>
      <c r="S44" s="1">
        <v>9.6000000000000002E-5</v>
      </c>
      <c r="T44" s="1">
        <v>5.8999999999999998E-5</v>
      </c>
      <c r="U44" s="1"/>
      <c r="W44">
        <v>0.05</v>
      </c>
      <c r="X44">
        <v>4.9000000000000002E-2</v>
      </c>
      <c r="Y44">
        <v>0.125</v>
      </c>
      <c r="Z44">
        <v>5.3999999999999999E-2</v>
      </c>
      <c r="AA44">
        <v>8.7999999999999995E-2</v>
      </c>
      <c r="AD44">
        <v>7.3999999999999996E-2</v>
      </c>
      <c r="AE44">
        <v>6.9000000000000006E-2</v>
      </c>
      <c r="AF44">
        <v>0.154</v>
      </c>
      <c r="AG44">
        <v>0.20300000000000001</v>
      </c>
      <c r="AH44">
        <v>6.5000000000000002E-2</v>
      </c>
      <c r="AK44">
        <v>9.4E-2</v>
      </c>
      <c r="AL44">
        <v>9.0999999999999998E-2</v>
      </c>
      <c r="AM44">
        <v>9.6000000000000002E-2</v>
      </c>
      <c r="AN44">
        <v>7.8E-2</v>
      </c>
      <c r="AO44">
        <v>8.2000000000000003E-2</v>
      </c>
    </row>
    <row r="45" spans="1:41" hidden="1">
      <c r="A45">
        <v>43</v>
      </c>
      <c r="B45">
        <v>8.2000000000000003E-2</v>
      </c>
      <c r="C45" s="1">
        <v>5.5999999999999999E-5</v>
      </c>
      <c r="D45" s="1">
        <v>5.3999999999999998E-5</v>
      </c>
      <c r="E45" s="1">
        <v>5.3000000000000001E-5</v>
      </c>
      <c r="F45" s="1">
        <v>5.3000000000000001E-5</v>
      </c>
      <c r="G45" s="1"/>
      <c r="H45" s="1"/>
      <c r="I45">
        <v>1.718</v>
      </c>
      <c r="J45" s="1">
        <v>5.8E-5</v>
      </c>
      <c r="K45" s="1">
        <v>5.8E-5</v>
      </c>
      <c r="L45" s="1">
        <v>5.3000000000000001E-5</v>
      </c>
      <c r="M45" s="1">
        <v>6.0999999999999999E-5</v>
      </c>
      <c r="N45" s="1"/>
      <c r="P45">
        <v>8.2000000000000003E-2</v>
      </c>
      <c r="Q45">
        <v>6.9700000000000003E-4</v>
      </c>
      <c r="R45" s="1">
        <v>5.8999999999999998E-5</v>
      </c>
      <c r="S45" s="1">
        <v>5.5000000000000002E-5</v>
      </c>
      <c r="T45" s="1">
        <v>5.3999999999999998E-5</v>
      </c>
      <c r="U45" s="1"/>
      <c r="W45">
        <v>5.0999999999999997E-2</v>
      </c>
      <c r="X45">
        <v>4.9000000000000002E-2</v>
      </c>
      <c r="Y45">
        <v>4.9000000000000002E-2</v>
      </c>
      <c r="Z45">
        <v>0.86099999999999999</v>
      </c>
      <c r="AA45">
        <v>5.1999999999999998E-2</v>
      </c>
      <c r="AD45">
        <v>6.5000000000000002E-2</v>
      </c>
      <c r="AE45">
        <v>7.4999999999999997E-2</v>
      </c>
      <c r="AF45">
        <v>9.6000000000000002E-2</v>
      </c>
      <c r="AG45">
        <v>0.30599999999999999</v>
      </c>
      <c r="AH45">
        <v>6.3E-2</v>
      </c>
      <c r="AK45">
        <v>8.3000000000000004E-2</v>
      </c>
      <c r="AL45">
        <v>7.9000000000000001E-2</v>
      </c>
      <c r="AM45">
        <v>7.6999999999999999E-2</v>
      </c>
      <c r="AN45">
        <v>8.1000000000000003E-2</v>
      </c>
      <c r="AO45">
        <v>7.8E-2</v>
      </c>
    </row>
    <row r="46" spans="1:41" hidden="1">
      <c r="A46">
        <v>44</v>
      </c>
      <c r="B46">
        <v>8.5000000000000006E-2</v>
      </c>
      <c r="C46" s="1">
        <v>5.5000000000000002E-5</v>
      </c>
      <c r="D46" s="1">
        <v>2.3699999999999999E-4</v>
      </c>
      <c r="E46" s="1">
        <v>5.5999999999999999E-5</v>
      </c>
      <c r="F46" s="1">
        <v>5.3000000000000001E-5</v>
      </c>
      <c r="G46" s="1"/>
      <c r="H46" s="1"/>
      <c r="I46">
        <v>5.6000000000000001E-2</v>
      </c>
      <c r="J46" s="1">
        <v>5.5999999999999999E-5</v>
      </c>
      <c r="K46">
        <v>5.4400000000000004E-3</v>
      </c>
      <c r="L46">
        <v>5.4500000000000002E-4</v>
      </c>
      <c r="M46" s="1">
        <v>6.0000000000000002E-5</v>
      </c>
      <c r="N46" s="1"/>
      <c r="P46">
        <v>5.7000000000000002E-2</v>
      </c>
      <c r="Q46">
        <v>8.5000000000000006E-3</v>
      </c>
      <c r="R46">
        <v>4.5800000000000002E-4</v>
      </c>
      <c r="S46" s="1">
        <v>6.4999999999999994E-5</v>
      </c>
      <c r="T46" s="1">
        <v>6.7999999999999999E-5</v>
      </c>
      <c r="U46" s="1"/>
      <c r="W46">
        <v>5.2999999999999999E-2</v>
      </c>
      <c r="X46">
        <v>4.9000000000000002E-2</v>
      </c>
      <c r="Y46">
        <v>9.1999999999999998E-2</v>
      </c>
      <c r="Z46">
        <v>8.827</v>
      </c>
      <c r="AA46">
        <v>0.86299999999999999</v>
      </c>
      <c r="AD46">
        <v>7.2999999999999995E-2</v>
      </c>
      <c r="AE46">
        <v>7.0999999999999994E-2</v>
      </c>
      <c r="AF46">
        <v>6.6000000000000003E-2</v>
      </c>
      <c r="AG46">
        <v>6.7000000000000004E-2</v>
      </c>
      <c r="AH46">
        <v>6.7000000000000004E-2</v>
      </c>
      <c r="AK46">
        <v>9.0999999999999998E-2</v>
      </c>
      <c r="AL46">
        <v>7.0999999999999994E-2</v>
      </c>
      <c r="AM46">
        <v>7.5999999999999998E-2</v>
      </c>
      <c r="AN46">
        <v>7.4999999999999997E-2</v>
      </c>
      <c r="AO46">
        <v>6.9000000000000006E-2</v>
      </c>
    </row>
    <row r="47" spans="1:41" hidden="1">
      <c r="A47">
        <v>45</v>
      </c>
      <c r="B47">
        <v>5.6000000000000001E-2</v>
      </c>
      <c r="C47" s="1">
        <v>5.7000000000000003E-5</v>
      </c>
      <c r="D47" s="1">
        <v>5.3000000000000001E-5</v>
      </c>
      <c r="E47" s="1">
        <v>5.3000000000000001E-5</v>
      </c>
      <c r="F47" s="1">
        <v>5.1999999999999997E-5</v>
      </c>
      <c r="G47" s="1"/>
      <c r="H47" s="1"/>
      <c r="I47">
        <v>6.8000000000000005E-2</v>
      </c>
      <c r="J47" s="1">
        <v>6.0999999999999999E-5</v>
      </c>
      <c r="K47">
        <v>1.392E-3</v>
      </c>
      <c r="L47" s="1">
        <v>6.2000000000000003E-5</v>
      </c>
      <c r="M47" s="1">
        <v>5.5000000000000002E-5</v>
      </c>
      <c r="N47" s="1"/>
      <c r="P47">
        <v>6.6000000000000003E-2</v>
      </c>
      <c r="Q47" s="1">
        <v>6.0999999999999999E-5</v>
      </c>
      <c r="R47" s="1">
        <v>5.8E-5</v>
      </c>
      <c r="S47" s="1">
        <v>5.8999999999999998E-5</v>
      </c>
      <c r="T47" s="1">
        <v>6.0999999999999999E-5</v>
      </c>
      <c r="U47" s="1"/>
      <c r="W47">
        <v>5.6000000000000001E-2</v>
      </c>
      <c r="X47">
        <v>5.2999999999999999E-2</v>
      </c>
      <c r="Y47">
        <v>5.2999999999999999E-2</v>
      </c>
      <c r="Z47">
        <v>5.8000000000000003E-2</v>
      </c>
      <c r="AA47">
        <v>5.2999999999999999E-2</v>
      </c>
      <c r="AD47">
        <v>7.0000000000000007E-2</v>
      </c>
      <c r="AE47">
        <v>6.7000000000000004E-2</v>
      </c>
      <c r="AF47">
        <v>7.0000000000000007E-2</v>
      </c>
      <c r="AG47">
        <v>0.06</v>
      </c>
      <c r="AH47">
        <v>6.0999999999999999E-2</v>
      </c>
      <c r="AK47">
        <v>7.0999999999999994E-2</v>
      </c>
      <c r="AL47">
        <v>8.1000000000000003E-2</v>
      </c>
      <c r="AM47">
        <v>7.4999999999999997E-2</v>
      </c>
      <c r="AN47">
        <v>7.9000000000000001E-2</v>
      </c>
      <c r="AO47">
        <v>7.9000000000000001E-2</v>
      </c>
    </row>
    <row r="48" spans="1:41" hidden="1">
      <c r="A48">
        <v>46</v>
      </c>
      <c r="B48">
        <v>0.187</v>
      </c>
      <c r="C48">
        <v>1.2400000000000001E-4</v>
      </c>
      <c r="D48" s="1">
        <v>6.2000000000000003E-5</v>
      </c>
      <c r="E48" s="1">
        <v>5.8999999999999998E-5</v>
      </c>
      <c r="F48" s="1">
        <v>5.8E-5</v>
      </c>
      <c r="G48" s="1"/>
      <c r="H48" s="1"/>
      <c r="I48">
        <v>5.8000000000000003E-2</v>
      </c>
      <c r="J48" s="1">
        <v>5.5999999999999999E-5</v>
      </c>
      <c r="K48" s="1">
        <v>5.3999999999999998E-5</v>
      </c>
      <c r="L48" s="1">
        <v>5.3000000000000001E-5</v>
      </c>
      <c r="M48" s="1">
        <v>5.3000000000000001E-5</v>
      </c>
      <c r="N48" s="1"/>
      <c r="P48">
        <v>0.06</v>
      </c>
      <c r="Q48" s="1">
        <v>6.3E-5</v>
      </c>
      <c r="R48" s="1">
        <v>6.0000000000000002E-5</v>
      </c>
      <c r="S48" s="1">
        <v>5.3999999999999998E-5</v>
      </c>
      <c r="T48" s="1">
        <v>5.3000000000000001E-5</v>
      </c>
      <c r="U48" s="1"/>
      <c r="W48">
        <v>0.05</v>
      </c>
      <c r="X48">
        <v>0.185</v>
      </c>
      <c r="Y48">
        <v>5.8000000000000003E-2</v>
      </c>
      <c r="Z48">
        <v>4.8000000000000001E-2</v>
      </c>
      <c r="AA48">
        <v>4.9000000000000002E-2</v>
      </c>
      <c r="AD48">
        <v>0.19700000000000001</v>
      </c>
      <c r="AE48">
        <v>5.8000000000000003E-2</v>
      </c>
      <c r="AF48">
        <v>8.2000000000000003E-2</v>
      </c>
      <c r="AG48">
        <v>5.7000000000000002E-2</v>
      </c>
      <c r="AH48">
        <v>0.11899999999999999</v>
      </c>
      <c r="AK48">
        <v>7.2999999999999995E-2</v>
      </c>
      <c r="AL48">
        <v>7.8E-2</v>
      </c>
      <c r="AM48">
        <v>7.0999999999999994E-2</v>
      </c>
      <c r="AN48">
        <v>7.3999999999999996E-2</v>
      </c>
      <c r="AO48">
        <v>6.9000000000000006E-2</v>
      </c>
    </row>
    <row r="49" spans="1:41" hidden="1">
      <c r="A49">
        <v>47</v>
      </c>
      <c r="B49">
        <v>0.06</v>
      </c>
      <c r="C49" s="1">
        <v>6.0999999999999999E-5</v>
      </c>
      <c r="D49" s="1">
        <v>5.8E-5</v>
      </c>
      <c r="E49" s="1">
        <v>6.0999999999999999E-5</v>
      </c>
      <c r="F49" s="1">
        <v>1.66E-4</v>
      </c>
      <c r="G49" s="1"/>
      <c r="H49" s="1"/>
      <c r="I49">
        <v>0.104</v>
      </c>
      <c r="J49" s="1">
        <v>9.0000000000000006E-5</v>
      </c>
      <c r="K49">
        <v>4.5710000000000004E-3</v>
      </c>
      <c r="L49" s="1">
        <v>5.5999999999999999E-5</v>
      </c>
      <c r="M49" s="1">
        <v>7.7999999999999999E-5</v>
      </c>
      <c r="N49" s="1"/>
      <c r="P49">
        <v>0.39400000000000002</v>
      </c>
      <c r="Q49">
        <v>1E-4</v>
      </c>
      <c r="R49" s="1">
        <v>6.8999999999999997E-5</v>
      </c>
      <c r="S49" s="1">
        <v>5.8999999999999998E-5</v>
      </c>
      <c r="T49" s="1">
        <v>5.5000000000000002E-5</v>
      </c>
      <c r="U49" s="1"/>
      <c r="W49">
        <v>5.0999999999999997E-2</v>
      </c>
      <c r="X49">
        <v>4.9000000000000002E-2</v>
      </c>
      <c r="Y49">
        <v>5.1999999999999998E-2</v>
      </c>
      <c r="Z49">
        <v>5.1999999999999998E-2</v>
      </c>
      <c r="AA49">
        <v>5.6000000000000001E-2</v>
      </c>
      <c r="AD49">
        <v>0.13</v>
      </c>
      <c r="AE49">
        <v>6.3E-2</v>
      </c>
      <c r="AF49">
        <v>5.7000000000000002E-2</v>
      </c>
      <c r="AG49">
        <v>5.5E-2</v>
      </c>
      <c r="AH49">
        <v>5.6000000000000001E-2</v>
      </c>
      <c r="AK49">
        <v>8.1000000000000003E-2</v>
      </c>
      <c r="AL49">
        <v>7.0000000000000007E-2</v>
      </c>
      <c r="AM49">
        <v>7.8E-2</v>
      </c>
      <c r="AN49">
        <v>6.9000000000000006E-2</v>
      </c>
      <c r="AO49">
        <v>7.1999999999999995E-2</v>
      </c>
    </row>
    <row r="50" spans="1:41" hidden="1">
      <c r="A50">
        <v>48</v>
      </c>
      <c r="B50">
        <v>5.7000000000000002E-2</v>
      </c>
      <c r="C50" s="1">
        <v>5.8999999999999998E-5</v>
      </c>
      <c r="D50" s="1">
        <v>6.0000000000000002E-5</v>
      </c>
      <c r="E50" s="1">
        <v>5.3000000000000001E-5</v>
      </c>
      <c r="F50" s="1">
        <v>5.7000000000000003E-5</v>
      </c>
      <c r="G50" s="1"/>
      <c r="H50" s="1"/>
      <c r="I50">
        <v>6.0999999999999999E-2</v>
      </c>
      <c r="J50" s="1">
        <v>5.8999999999999998E-5</v>
      </c>
      <c r="K50" s="1">
        <v>5.3999999999999998E-5</v>
      </c>
      <c r="L50">
        <v>2.0000000000000001E-4</v>
      </c>
      <c r="M50" s="1">
        <v>6.7999999999999999E-5</v>
      </c>
      <c r="N50" s="1"/>
      <c r="P50">
        <v>5.8000000000000003E-2</v>
      </c>
      <c r="Q50" s="1">
        <v>5.5999999999999999E-5</v>
      </c>
      <c r="R50" s="1">
        <v>6.4999999999999994E-5</v>
      </c>
      <c r="S50" s="1">
        <v>5.3999999999999998E-5</v>
      </c>
      <c r="T50" s="1">
        <v>5.8999999999999998E-5</v>
      </c>
      <c r="U50" s="1"/>
      <c r="W50">
        <v>0.13800000000000001</v>
      </c>
      <c r="X50">
        <v>0.05</v>
      </c>
      <c r="Y50">
        <v>0.05</v>
      </c>
      <c r="Z50">
        <v>5.6000000000000001E-2</v>
      </c>
      <c r="AA50">
        <v>5.3999999999999999E-2</v>
      </c>
      <c r="AD50">
        <v>5.8000000000000003E-2</v>
      </c>
      <c r="AE50">
        <v>5.6000000000000001E-2</v>
      </c>
      <c r="AF50">
        <v>5.5E-2</v>
      </c>
      <c r="AG50">
        <v>5.6000000000000001E-2</v>
      </c>
      <c r="AH50">
        <v>0.109</v>
      </c>
      <c r="AK50">
        <v>7.2999999999999995E-2</v>
      </c>
      <c r="AL50">
        <v>7.5999999999999998E-2</v>
      </c>
      <c r="AM50">
        <v>7.4999999999999997E-2</v>
      </c>
      <c r="AN50">
        <v>7.3999999999999996E-2</v>
      </c>
      <c r="AO50">
        <v>6.8000000000000005E-2</v>
      </c>
    </row>
    <row r="51" spans="1:41" hidden="1">
      <c r="A51">
        <v>49</v>
      </c>
      <c r="B51">
        <v>6.0999999999999999E-2</v>
      </c>
      <c r="C51" s="1">
        <v>6.2000000000000003E-5</v>
      </c>
      <c r="D51" s="1">
        <v>5.8999999999999998E-5</v>
      </c>
      <c r="E51" s="1">
        <v>5.8E-5</v>
      </c>
      <c r="F51" s="1">
        <v>5.8E-5</v>
      </c>
      <c r="G51" s="1"/>
      <c r="H51" s="1"/>
      <c r="I51">
        <v>6.6000000000000003E-2</v>
      </c>
      <c r="J51" s="1">
        <v>7.3999999999999996E-5</v>
      </c>
      <c r="K51" s="1">
        <v>5.5000000000000002E-5</v>
      </c>
      <c r="L51" s="1">
        <v>5.5000000000000002E-5</v>
      </c>
      <c r="M51" s="1">
        <v>5.5000000000000002E-5</v>
      </c>
      <c r="N51" s="1"/>
      <c r="P51">
        <v>5.6000000000000001E-2</v>
      </c>
      <c r="Q51" s="1">
        <v>5.7000000000000003E-5</v>
      </c>
      <c r="R51" s="1">
        <v>5.3000000000000001E-5</v>
      </c>
      <c r="S51" s="1">
        <v>5.7000000000000003E-5</v>
      </c>
      <c r="T51" s="1">
        <v>6.0999999999999999E-5</v>
      </c>
      <c r="U51" s="1"/>
      <c r="W51">
        <v>0.05</v>
      </c>
      <c r="X51">
        <v>4.9000000000000002E-2</v>
      </c>
      <c r="Y51">
        <v>0.35</v>
      </c>
      <c r="Z51">
        <v>9.9000000000000005E-2</v>
      </c>
      <c r="AA51">
        <v>0.05</v>
      </c>
      <c r="AD51">
        <v>6.2E-2</v>
      </c>
      <c r="AE51">
        <v>5.7000000000000002E-2</v>
      </c>
      <c r="AF51">
        <v>5.6000000000000001E-2</v>
      </c>
      <c r="AG51">
        <v>5.5E-2</v>
      </c>
      <c r="AH51">
        <v>5.5E-2</v>
      </c>
      <c r="AK51">
        <v>7.1999999999999995E-2</v>
      </c>
      <c r="AL51">
        <v>6.9000000000000006E-2</v>
      </c>
      <c r="AM51">
        <v>11.199</v>
      </c>
      <c r="AN51">
        <v>0.113</v>
      </c>
      <c r="AO51">
        <v>6.4000000000000001E-2</v>
      </c>
    </row>
    <row r="52" spans="1:41" hidden="1">
      <c r="A52">
        <v>50</v>
      </c>
      <c r="B52">
        <v>0.06</v>
      </c>
      <c r="C52" s="1">
        <v>6.0000000000000002E-5</v>
      </c>
      <c r="D52" s="1">
        <v>5.8E-5</v>
      </c>
      <c r="E52" s="1">
        <v>5.7000000000000003E-5</v>
      </c>
      <c r="F52" s="1">
        <v>6.0000000000000002E-5</v>
      </c>
      <c r="G52" s="1"/>
      <c r="H52" s="1"/>
      <c r="I52">
        <v>5.5E-2</v>
      </c>
      <c r="J52">
        <v>9.8299999999999993E-4</v>
      </c>
      <c r="K52" s="1">
        <v>6.7999999999999999E-5</v>
      </c>
      <c r="L52" s="1">
        <v>7.2000000000000002E-5</v>
      </c>
      <c r="M52" s="1">
        <v>6.2000000000000003E-5</v>
      </c>
      <c r="N52" s="1"/>
      <c r="P52">
        <v>5.7000000000000002E-2</v>
      </c>
      <c r="Q52" s="1">
        <v>5.5999999999999999E-5</v>
      </c>
      <c r="R52" s="1">
        <v>5.3000000000000001E-5</v>
      </c>
      <c r="S52">
        <v>1.84E-4</v>
      </c>
      <c r="T52" s="1">
        <v>5.7000000000000003E-5</v>
      </c>
      <c r="U52" s="1"/>
      <c r="W52">
        <v>5.0999999999999997E-2</v>
      </c>
      <c r="X52">
        <v>5.3999999999999999E-2</v>
      </c>
      <c r="Y52">
        <v>5.5E-2</v>
      </c>
      <c r="Z52">
        <v>5.5E-2</v>
      </c>
      <c r="AA52">
        <v>5.3999999999999999E-2</v>
      </c>
      <c r="AD52">
        <v>5.7000000000000002E-2</v>
      </c>
      <c r="AE52">
        <v>6.0999999999999999E-2</v>
      </c>
      <c r="AF52">
        <v>0.95399999999999996</v>
      </c>
      <c r="AG52">
        <v>0.13</v>
      </c>
      <c r="AH52">
        <v>5.0999999999999997E-2</v>
      </c>
      <c r="AK52">
        <v>0.189</v>
      </c>
      <c r="AL52">
        <v>0.104</v>
      </c>
      <c r="AM52">
        <v>6.4000000000000001E-2</v>
      </c>
      <c r="AN52">
        <v>6.2E-2</v>
      </c>
      <c r="AO52">
        <v>6.0999999999999999E-2</v>
      </c>
    </row>
    <row r="53" spans="1:41" hidden="1">
      <c r="A53">
        <v>51</v>
      </c>
      <c r="B53">
        <v>6.0999999999999999E-2</v>
      </c>
      <c r="C53">
        <v>1.5699999999999999E-4</v>
      </c>
      <c r="D53" s="1">
        <v>5.5999999999999999E-5</v>
      </c>
      <c r="E53" s="1">
        <v>7.6000000000000004E-5</v>
      </c>
      <c r="F53" s="1">
        <v>5.3000000000000001E-5</v>
      </c>
      <c r="G53" s="1"/>
      <c r="I53">
        <v>0.23699999999999999</v>
      </c>
      <c r="J53" s="1">
        <v>6.0999999999999999E-5</v>
      </c>
      <c r="K53" s="1">
        <v>5.5000000000000002E-5</v>
      </c>
      <c r="L53" s="1">
        <v>5.3000000000000001E-5</v>
      </c>
      <c r="M53" s="1">
        <v>5.3999999999999998E-5</v>
      </c>
      <c r="N53" s="1"/>
      <c r="P53">
        <v>6.6000000000000003E-2</v>
      </c>
      <c r="Q53" s="1">
        <v>6.2000000000000003E-5</v>
      </c>
      <c r="R53" s="1">
        <v>5.8999999999999998E-5</v>
      </c>
      <c r="S53" s="1">
        <v>5.8999999999999998E-5</v>
      </c>
      <c r="T53" s="1">
        <v>5.8999999999999998E-5</v>
      </c>
      <c r="U53" s="1"/>
      <c r="W53">
        <v>5.0999999999999997E-2</v>
      </c>
      <c r="X53">
        <v>4.9000000000000002E-2</v>
      </c>
      <c r="Y53">
        <v>0.13100000000000001</v>
      </c>
      <c r="Z53">
        <v>24.286000000000001</v>
      </c>
      <c r="AA53">
        <v>5.7000000000000002E-2</v>
      </c>
      <c r="AD53">
        <v>5.1999999999999998E-2</v>
      </c>
      <c r="AE53">
        <v>4.8000000000000001E-2</v>
      </c>
      <c r="AF53">
        <v>4.8000000000000001E-2</v>
      </c>
      <c r="AG53">
        <v>4.8000000000000001E-2</v>
      </c>
      <c r="AH53">
        <v>4.8000000000000001E-2</v>
      </c>
      <c r="AK53">
        <v>6.7000000000000004E-2</v>
      </c>
      <c r="AL53">
        <v>6.4000000000000001E-2</v>
      </c>
      <c r="AM53">
        <v>6.3E-2</v>
      </c>
      <c r="AN53">
        <v>0.06</v>
      </c>
      <c r="AO53">
        <v>6.2E-2</v>
      </c>
    </row>
    <row r="54" spans="1:41" hidden="1">
      <c r="A54">
        <v>52</v>
      </c>
      <c r="B54">
        <v>9.0999999999999998E-2</v>
      </c>
      <c r="C54" s="1">
        <v>5.5000000000000002E-5</v>
      </c>
      <c r="D54" s="1">
        <v>5.3000000000000001E-5</v>
      </c>
      <c r="E54" s="1">
        <v>5.3000000000000001E-5</v>
      </c>
      <c r="F54" s="1">
        <v>5.3999999999999998E-5</v>
      </c>
      <c r="G54" s="1"/>
      <c r="H54" s="1"/>
      <c r="I54">
        <v>5.6000000000000001E-2</v>
      </c>
      <c r="J54" s="1">
        <v>5.8E-5</v>
      </c>
      <c r="K54" s="1">
        <v>5.5000000000000002E-5</v>
      </c>
      <c r="L54" s="1">
        <v>5.8E-5</v>
      </c>
      <c r="M54" s="1">
        <v>6.0999999999999999E-5</v>
      </c>
      <c r="N54" s="1"/>
      <c r="P54">
        <v>6.0999999999999999E-2</v>
      </c>
      <c r="Q54" s="1">
        <v>6.3E-5</v>
      </c>
      <c r="R54" s="1">
        <v>5.8E-5</v>
      </c>
      <c r="S54" s="1">
        <v>6.0000000000000002E-5</v>
      </c>
      <c r="T54" s="1">
        <v>5.8E-5</v>
      </c>
      <c r="U54" s="1"/>
      <c r="W54">
        <v>5.8999999999999997E-2</v>
      </c>
      <c r="X54">
        <v>4.9000000000000002E-2</v>
      </c>
      <c r="Y54">
        <v>5.3999999999999999E-2</v>
      </c>
      <c r="Z54">
        <v>5.1999999999999998E-2</v>
      </c>
      <c r="AA54">
        <v>5.2999999999999999E-2</v>
      </c>
      <c r="AD54">
        <v>5.0999999999999997E-2</v>
      </c>
      <c r="AE54">
        <v>4.8000000000000001E-2</v>
      </c>
      <c r="AF54">
        <v>4.8000000000000001E-2</v>
      </c>
      <c r="AG54">
        <v>4.7E-2</v>
      </c>
      <c r="AH54">
        <v>8.7379999999999995</v>
      </c>
      <c r="AK54">
        <v>6.4000000000000001E-2</v>
      </c>
      <c r="AL54">
        <v>6.6000000000000003E-2</v>
      </c>
      <c r="AM54">
        <v>5.5E-2</v>
      </c>
      <c r="AN54">
        <v>6.5330000000000004</v>
      </c>
      <c r="AO54">
        <v>6.2E-2</v>
      </c>
    </row>
    <row r="55" spans="1:41" hidden="1">
      <c r="A55">
        <v>53</v>
      </c>
      <c r="B55">
        <v>5.5E-2</v>
      </c>
      <c r="C55" s="1">
        <v>5.5999999999999999E-5</v>
      </c>
      <c r="D55" s="1">
        <v>5.1999999999999997E-5</v>
      </c>
      <c r="E55" s="1">
        <v>5.1E-5</v>
      </c>
      <c r="F55" s="1">
        <v>5.1999999999999997E-5</v>
      </c>
      <c r="G55" s="1"/>
      <c r="I55">
        <v>6.0999999999999999E-2</v>
      </c>
      <c r="J55" s="1">
        <v>6.2000000000000003E-5</v>
      </c>
      <c r="K55" s="1">
        <v>6.0000000000000002E-5</v>
      </c>
      <c r="L55" s="1">
        <v>5.7000000000000003E-5</v>
      </c>
      <c r="M55" s="1">
        <v>5.7000000000000003E-5</v>
      </c>
      <c r="N55" s="1"/>
      <c r="P55">
        <v>6.3E-2</v>
      </c>
      <c r="Q55" s="1">
        <v>6.2000000000000003E-5</v>
      </c>
      <c r="R55" s="1">
        <v>5.8E-5</v>
      </c>
      <c r="S55" s="1">
        <v>6.0000000000000002E-5</v>
      </c>
      <c r="T55" s="1">
        <v>5.8E-5</v>
      </c>
      <c r="U55" s="1"/>
      <c r="W55">
        <v>5.2999999999999999E-2</v>
      </c>
      <c r="X55">
        <v>5.6000000000000001E-2</v>
      </c>
      <c r="Y55">
        <v>4.8000000000000001E-2</v>
      </c>
      <c r="Z55">
        <v>4.7E-2</v>
      </c>
      <c r="AA55">
        <v>4.9000000000000002E-2</v>
      </c>
      <c r="AD55">
        <v>6.4000000000000001E-2</v>
      </c>
      <c r="AE55">
        <v>8.1000000000000003E-2</v>
      </c>
      <c r="AF55">
        <v>8.5000000000000006E-2</v>
      </c>
      <c r="AG55">
        <v>5.2999999999999999E-2</v>
      </c>
      <c r="AH55">
        <v>0.05</v>
      </c>
      <c r="AK55">
        <v>5.8999999999999997E-2</v>
      </c>
      <c r="AL55">
        <v>6.2E-2</v>
      </c>
      <c r="AM55">
        <v>6.2E-2</v>
      </c>
      <c r="AN55">
        <v>6.0999999999999999E-2</v>
      </c>
      <c r="AO55">
        <v>0.06</v>
      </c>
    </row>
    <row r="56" spans="1:41" hidden="1">
      <c r="A56">
        <v>54</v>
      </c>
      <c r="B56">
        <v>5.6000000000000001E-2</v>
      </c>
      <c r="C56">
        <v>1.4220000000000001E-3</v>
      </c>
      <c r="D56" s="1">
        <v>5.3999999999999998E-5</v>
      </c>
      <c r="E56" s="1">
        <v>1.1055000000000001E-2</v>
      </c>
      <c r="F56" s="1">
        <v>2.8400000000000002E-4</v>
      </c>
      <c r="G56" s="1"/>
      <c r="H56" s="1"/>
      <c r="I56">
        <v>6.8000000000000005E-2</v>
      </c>
      <c r="J56">
        <v>5.8500000000000002E-4</v>
      </c>
      <c r="K56" s="1">
        <v>5.8999999999999998E-5</v>
      </c>
      <c r="L56" s="1">
        <v>5.3999999999999998E-5</v>
      </c>
      <c r="M56" s="1">
        <v>5.3000000000000001E-5</v>
      </c>
      <c r="N56" s="1"/>
      <c r="P56">
        <v>6.2E-2</v>
      </c>
      <c r="Q56" s="1">
        <v>6.0999999999999999E-5</v>
      </c>
      <c r="R56" s="1">
        <v>5.8999999999999998E-5</v>
      </c>
      <c r="S56" s="1">
        <v>5.8E-5</v>
      </c>
      <c r="T56" s="1">
        <v>5.8999999999999998E-5</v>
      </c>
      <c r="U56" s="1"/>
      <c r="W56">
        <v>0.05</v>
      </c>
      <c r="X56">
        <v>6.9000000000000006E-2</v>
      </c>
      <c r="Y56">
        <v>0.28199999999999997</v>
      </c>
      <c r="Z56">
        <v>4.9000000000000002E-2</v>
      </c>
      <c r="AA56">
        <v>4.9000000000000002E-2</v>
      </c>
      <c r="AD56">
        <v>7.3999999999999996E-2</v>
      </c>
      <c r="AE56">
        <v>0.1</v>
      </c>
      <c r="AF56">
        <v>5.8000000000000003E-2</v>
      </c>
      <c r="AG56">
        <v>0.05</v>
      </c>
      <c r="AH56">
        <v>4.9000000000000002E-2</v>
      </c>
      <c r="AK56">
        <v>6.3E-2</v>
      </c>
      <c r="AL56">
        <v>6.2E-2</v>
      </c>
      <c r="AM56">
        <v>0.06</v>
      </c>
      <c r="AN56">
        <v>6.4000000000000001E-2</v>
      </c>
      <c r="AO56">
        <v>5.5E-2</v>
      </c>
    </row>
    <row r="57" spans="1:41" hidden="1">
      <c r="A57">
        <v>55</v>
      </c>
      <c r="B57">
        <v>0.115</v>
      </c>
      <c r="C57">
        <v>1.15E-4</v>
      </c>
      <c r="D57" s="1">
        <v>1.0900000000000001E-4</v>
      </c>
      <c r="E57" s="1">
        <v>1.01E-4</v>
      </c>
      <c r="F57" s="1">
        <v>9.8999999999999994E-5</v>
      </c>
      <c r="G57" s="1"/>
      <c r="H57" s="1"/>
      <c r="I57">
        <v>6.7000000000000004E-2</v>
      </c>
      <c r="J57" s="1">
        <v>6.3999999999999997E-5</v>
      </c>
      <c r="K57" s="1">
        <v>6.0000000000000002E-5</v>
      </c>
      <c r="L57" s="1">
        <v>6.3999999999999997E-5</v>
      </c>
      <c r="M57" s="1">
        <v>6.0000000000000002E-5</v>
      </c>
      <c r="N57" s="1"/>
      <c r="P57">
        <v>6.2E-2</v>
      </c>
      <c r="Q57" s="1">
        <v>6.0000000000000002E-5</v>
      </c>
      <c r="R57" s="1">
        <v>5.8999999999999998E-5</v>
      </c>
      <c r="S57" s="1">
        <v>5.7000000000000003E-5</v>
      </c>
      <c r="T57" s="1">
        <v>5.7000000000000003E-5</v>
      </c>
      <c r="U57" s="1"/>
      <c r="W57">
        <v>5.2999999999999999E-2</v>
      </c>
      <c r="X57">
        <v>4.8000000000000001E-2</v>
      </c>
      <c r="Y57">
        <v>0.05</v>
      </c>
      <c r="Z57">
        <v>5.3999999999999999E-2</v>
      </c>
      <c r="AA57">
        <v>5.2999999999999999E-2</v>
      </c>
      <c r="AD57">
        <v>5.1999999999999998E-2</v>
      </c>
      <c r="AE57">
        <v>4.8000000000000001E-2</v>
      </c>
      <c r="AF57">
        <v>4.9000000000000002E-2</v>
      </c>
      <c r="AG57">
        <v>0.29799999999999999</v>
      </c>
      <c r="AH57">
        <v>5.1999999999999998E-2</v>
      </c>
      <c r="AK57">
        <v>8.4000000000000005E-2</v>
      </c>
      <c r="AL57">
        <v>4.8000000000000001E-2</v>
      </c>
      <c r="AM57">
        <v>4.8000000000000001E-2</v>
      </c>
      <c r="AN57">
        <v>10.766999999999999</v>
      </c>
      <c r="AO57">
        <v>6.6000000000000003E-2</v>
      </c>
    </row>
    <row r="58" spans="1:41" hidden="1">
      <c r="A58">
        <v>56</v>
      </c>
      <c r="B58">
        <v>0.113</v>
      </c>
      <c r="C58">
        <v>2.61E-4</v>
      </c>
      <c r="D58" s="1">
        <v>2.22E-4</v>
      </c>
      <c r="E58" s="1">
        <v>7.0600000000000003E-4</v>
      </c>
      <c r="F58" s="1">
        <v>8.0000000000000007E-5</v>
      </c>
      <c r="G58" s="1"/>
      <c r="H58" s="1"/>
      <c r="I58">
        <v>0.622</v>
      </c>
      <c r="J58" s="1">
        <v>6.0000000000000002E-5</v>
      </c>
      <c r="K58" s="1">
        <v>6.2000000000000003E-5</v>
      </c>
      <c r="L58" s="1">
        <v>5.8999999999999998E-5</v>
      </c>
      <c r="M58" s="1">
        <v>5.1999999999999997E-5</v>
      </c>
      <c r="N58" s="1"/>
      <c r="P58">
        <v>6.0999999999999999E-2</v>
      </c>
      <c r="Q58" s="1">
        <v>5.5999999999999999E-5</v>
      </c>
      <c r="R58" s="1">
        <v>5.8E-5</v>
      </c>
      <c r="S58" s="1">
        <v>5.8999999999999998E-5</v>
      </c>
      <c r="T58" s="1">
        <v>5.3000000000000001E-5</v>
      </c>
      <c r="U58" s="1"/>
      <c r="W58">
        <v>5.7000000000000002E-2</v>
      </c>
      <c r="X58">
        <v>5.3999999999999999E-2</v>
      </c>
      <c r="Y58">
        <v>5.5E-2</v>
      </c>
      <c r="Z58">
        <v>5.2999999999999999E-2</v>
      </c>
      <c r="AA58">
        <v>0.14099999999999999</v>
      </c>
      <c r="AD58">
        <v>6.8000000000000005E-2</v>
      </c>
      <c r="AE58">
        <v>5.2999999999999999E-2</v>
      </c>
      <c r="AF58">
        <v>4.9000000000000002E-2</v>
      </c>
      <c r="AG58">
        <v>4.9000000000000002E-2</v>
      </c>
      <c r="AH58">
        <v>0.05</v>
      </c>
      <c r="AK58">
        <v>6.3E-2</v>
      </c>
      <c r="AL58">
        <v>5.3999999999999999E-2</v>
      </c>
      <c r="AM58">
        <v>5.3999999999999999E-2</v>
      </c>
      <c r="AN58">
        <v>4.9000000000000002E-2</v>
      </c>
      <c r="AO58">
        <v>4.9000000000000002E-2</v>
      </c>
    </row>
    <row r="59" spans="1:41" hidden="1">
      <c r="A59">
        <v>57</v>
      </c>
      <c r="B59">
        <v>8.7999999999999995E-2</v>
      </c>
      <c r="C59" s="1">
        <v>8.1000000000000004E-5</v>
      </c>
      <c r="D59" s="1">
        <v>7.7000000000000001E-5</v>
      </c>
      <c r="E59" s="1">
        <v>7.4999999999999993E-5</v>
      </c>
      <c r="F59" s="1">
        <v>7.4999999999999993E-5</v>
      </c>
      <c r="G59" s="1"/>
      <c r="H59" s="1"/>
      <c r="I59">
        <v>5.6000000000000001E-2</v>
      </c>
      <c r="J59" s="1">
        <v>5.7000000000000003E-5</v>
      </c>
      <c r="K59" s="1">
        <v>5.5000000000000002E-5</v>
      </c>
      <c r="L59">
        <v>5.8600000000000004E-4</v>
      </c>
      <c r="M59">
        <v>1.472E-3</v>
      </c>
      <c r="P59">
        <v>8.7579999999999991</v>
      </c>
      <c r="Q59">
        <v>2.5040000000000001E-3</v>
      </c>
      <c r="R59">
        <v>2.7550000000000001E-3</v>
      </c>
      <c r="S59" s="1">
        <v>5.5000000000000002E-5</v>
      </c>
      <c r="T59">
        <v>3.1809999999999998E-3</v>
      </c>
      <c r="W59">
        <v>5.6000000000000001E-2</v>
      </c>
      <c r="X59">
        <v>5.2999999999999999E-2</v>
      </c>
      <c r="Y59">
        <v>5.1999999999999998E-2</v>
      </c>
      <c r="Z59">
        <v>5.2999999999999999E-2</v>
      </c>
      <c r="AA59">
        <v>4.8000000000000001E-2</v>
      </c>
      <c r="AD59">
        <v>0.05</v>
      </c>
      <c r="AE59">
        <v>4.8000000000000001E-2</v>
      </c>
      <c r="AF59">
        <v>4.8000000000000001E-2</v>
      </c>
      <c r="AG59">
        <v>4.7E-2</v>
      </c>
      <c r="AH59">
        <v>4.9000000000000002E-2</v>
      </c>
      <c r="AK59">
        <v>5.1999999999999998E-2</v>
      </c>
      <c r="AL59">
        <v>5.7000000000000002E-2</v>
      </c>
      <c r="AM59">
        <v>5.6000000000000001E-2</v>
      </c>
      <c r="AN59">
        <v>6.0999999999999999E-2</v>
      </c>
      <c r="AO59">
        <v>5.1999999999999998E-2</v>
      </c>
    </row>
    <row r="60" spans="1:41" hidden="1">
      <c r="A60">
        <v>58</v>
      </c>
      <c r="B60">
        <v>0.13500000000000001</v>
      </c>
      <c r="C60">
        <v>1.5799999999999999E-4</v>
      </c>
      <c r="D60" s="1">
        <v>7.7999999999999999E-5</v>
      </c>
      <c r="E60" s="1">
        <v>7.7000000000000001E-5</v>
      </c>
      <c r="F60" s="1">
        <v>7.7000000000000001E-5</v>
      </c>
      <c r="G60" s="1"/>
      <c r="H60" s="1"/>
      <c r="I60">
        <v>0.29499999999999998</v>
      </c>
      <c r="J60" s="1">
        <v>6.0999999999999999E-5</v>
      </c>
      <c r="K60" s="1">
        <v>5.3999999999999998E-5</v>
      </c>
      <c r="L60" s="1">
        <v>5.3000000000000001E-5</v>
      </c>
      <c r="M60" s="1">
        <v>5.3999999999999998E-5</v>
      </c>
      <c r="N60" s="1"/>
      <c r="P60">
        <v>5.7000000000000002E-2</v>
      </c>
      <c r="Q60" s="1">
        <v>5.5999999999999999E-5</v>
      </c>
      <c r="R60" s="1">
        <v>5.3999999999999998E-5</v>
      </c>
      <c r="S60">
        <v>2.8299999999999999E-4</v>
      </c>
      <c r="T60" s="1">
        <v>9.0000000000000006E-5</v>
      </c>
      <c r="U60" s="1"/>
      <c r="W60">
        <v>4.9000000000000002E-2</v>
      </c>
      <c r="X60">
        <v>4.8000000000000001E-2</v>
      </c>
      <c r="Y60">
        <v>0.16700000000000001</v>
      </c>
      <c r="Z60">
        <v>0.05</v>
      </c>
      <c r="AA60">
        <v>5.8000000000000003E-2</v>
      </c>
      <c r="AD60">
        <v>5.1999999999999998E-2</v>
      </c>
      <c r="AE60">
        <v>0.05</v>
      </c>
      <c r="AF60">
        <v>4.9000000000000002E-2</v>
      </c>
      <c r="AG60">
        <v>4.8000000000000001E-2</v>
      </c>
      <c r="AH60">
        <v>4.8000000000000001E-2</v>
      </c>
      <c r="AK60">
        <v>8.2000000000000003E-2</v>
      </c>
      <c r="AL60">
        <v>0.05</v>
      </c>
      <c r="AM60">
        <v>4.8000000000000001E-2</v>
      </c>
      <c r="AN60">
        <v>6.6000000000000003E-2</v>
      </c>
      <c r="AO60">
        <v>6.9000000000000006E-2</v>
      </c>
    </row>
    <row r="61" spans="1:41" hidden="1">
      <c r="A61">
        <v>59</v>
      </c>
      <c r="B61">
        <v>0.08</v>
      </c>
      <c r="C61" s="1">
        <v>8.0000000000000007E-5</v>
      </c>
      <c r="D61" s="1">
        <v>2.4800000000000001E-4</v>
      </c>
      <c r="E61" s="1">
        <v>7.7999999999999999E-5</v>
      </c>
      <c r="F61" s="1">
        <v>7.3999999999999996E-5</v>
      </c>
      <c r="G61" s="1"/>
      <c r="H61" s="1"/>
      <c r="I61">
        <v>5.6000000000000001E-2</v>
      </c>
      <c r="J61" s="1">
        <v>5.5999999999999999E-5</v>
      </c>
      <c r="K61" s="1">
        <v>5.3000000000000001E-5</v>
      </c>
      <c r="L61" s="1">
        <v>5.1999999999999997E-5</v>
      </c>
      <c r="M61" s="1">
        <v>5.3000000000000001E-5</v>
      </c>
      <c r="N61" s="1"/>
      <c r="P61">
        <v>8.3000000000000004E-2</v>
      </c>
      <c r="Q61" s="1">
        <v>5.8E-5</v>
      </c>
      <c r="R61" s="1">
        <v>6.3E-5</v>
      </c>
      <c r="S61" s="1">
        <v>5.7000000000000003E-5</v>
      </c>
      <c r="T61" s="1">
        <v>5.3999999999999998E-5</v>
      </c>
      <c r="U61" s="1"/>
      <c r="W61">
        <v>5.6000000000000001E-2</v>
      </c>
      <c r="X61">
        <v>4.9000000000000002E-2</v>
      </c>
      <c r="Y61">
        <v>4.8000000000000001E-2</v>
      </c>
      <c r="Z61">
        <v>4.8000000000000001E-2</v>
      </c>
      <c r="AA61">
        <v>4.8000000000000001E-2</v>
      </c>
      <c r="AD61">
        <v>5.1999999999999998E-2</v>
      </c>
      <c r="AE61">
        <v>4.8000000000000001E-2</v>
      </c>
      <c r="AF61">
        <v>4.8000000000000001E-2</v>
      </c>
      <c r="AG61">
        <v>4.7E-2</v>
      </c>
      <c r="AH61">
        <v>4.8000000000000001E-2</v>
      </c>
      <c r="AK61">
        <v>0.25800000000000001</v>
      </c>
      <c r="AL61">
        <v>6.4000000000000001E-2</v>
      </c>
      <c r="AM61">
        <v>6.5000000000000002E-2</v>
      </c>
      <c r="AN61">
        <v>7.4999999999999997E-2</v>
      </c>
      <c r="AO61">
        <v>7.0999999999999994E-2</v>
      </c>
    </row>
    <row r="62" spans="1:41" hidden="1">
      <c r="A62">
        <v>60</v>
      </c>
      <c r="B62">
        <v>0.13200000000000001</v>
      </c>
      <c r="C62" s="1">
        <v>8.2000000000000001E-5</v>
      </c>
      <c r="D62" s="1">
        <v>7.7000000000000001E-5</v>
      </c>
      <c r="E62" s="1">
        <v>7.6000000000000004E-5</v>
      </c>
      <c r="F62" s="1">
        <v>7.3999999999999996E-5</v>
      </c>
      <c r="G62" s="1"/>
      <c r="H62" s="1"/>
      <c r="I62">
        <v>8.0540000000000003</v>
      </c>
      <c r="J62">
        <v>5.8799999999999998E-4</v>
      </c>
      <c r="K62" s="1">
        <v>5.5999999999999999E-5</v>
      </c>
      <c r="L62" s="1">
        <v>5.3999999999999998E-5</v>
      </c>
      <c r="M62" s="1">
        <v>5.8999999999999998E-5</v>
      </c>
      <c r="N62" s="1"/>
      <c r="P62">
        <v>5.6000000000000001E-2</v>
      </c>
      <c r="Q62" s="1">
        <v>5.5999999999999999E-5</v>
      </c>
      <c r="R62" s="1">
        <v>5.3000000000000001E-5</v>
      </c>
      <c r="S62" s="1">
        <v>5.3000000000000001E-5</v>
      </c>
      <c r="T62" s="1">
        <v>5.3000000000000001E-5</v>
      </c>
      <c r="U62" s="1"/>
      <c r="W62">
        <v>5.0999999999999997E-2</v>
      </c>
      <c r="X62">
        <v>0.18099999999999999</v>
      </c>
      <c r="Y62">
        <v>4.9000000000000002E-2</v>
      </c>
      <c r="Z62">
        <v>5.2999999999999999E-2</v>
      </c>
      <c r="AA62">
        <v>4.8000000000000001E-2</v>
      </c>
      <c r="AD62">
        <v>4.9000000000000002E-2</v>
      </c>
      <c r="AE62">
        <v>7.1999999999999995E-2</v>
      </c>
      <c r="AF62">
        <v>4.9000000000000002E-2</v>
      </c>
      <c r="AG62">
        <v>4.7E-2</v>
      </c>
      <c r="AH62">
        <v>4.9000000000000002E-2</v>
      </c>
      <c r="AK62">
        <v>7.2999999999999995E-2</v>
      </c>
      <c r="AL62">
        <v>0.08</v>
      </c>
      <c r="AM62">
        <v>7.1999999999999995E-2</v>
      </c>
      <c r="AN62">
        <v>5.3999999999999999E-2</v>
      </c>
      <c r="AO62">
        <v>6.8000000000000005E-2</v>
      </c>
    </row>
    <row r="63" spans="1:41" hidden="1">
      <c r="A63">
        <v>61</v>
      </c>
      <c r="B63">
        <v>7.9000000000000001E-2</v>
      </c>
      <c r="C63" s="1">
        <v>7.7999999999999999E-5</v>
      </c>
      <c r="D63" s="1">
        <v>7.4999999999999993E-5</v>
      </c>
      <c r="E63" s="1">
        <v>7.6000000000000004E-5</v>
      </c>
      <c r="F63" s="1">
        <v>7.2999999999999999E-5</v>
      </c>
      <c r="G63" s="1"/>
      <c r="H63" s="1"/>
      <c r="I63">
        <v>6.4000000000000001E-2</v>
      </c>
      <c r="J63" s="1">
        <v>5.5000000000000002E-5</v>
      </c>
      <c r="K63" s="1">
        <v>6.3999999999999997E-5</v>
      </c>
      <c r="L63">
        <v>1.84E-4</v>
      </c>
      <c r="M63" s="1">
        <v>5.8E-5</v>
      </c>
      <c r="N63" s="1"/>
      <c r="P63">
        <v>5.5E-2</v>
      </c>
      <c r="Q63" s="1">
        <v>5.5999999999999999E-5</v>
      </c>
      <c r="R63" s="1">
        <v>5.1999999999999997E-5</v>
      </c>
      <c r="S63">
        <v>6.69E-4</v>
      </c>
      <c r="T63" s="1">
        <v>6.0000000000000002E-5</v>
      </c>
      <c r="U63" s="1"/>
      <c r="W63">
        <v>0.05</v>
      </c>
      <c r="X63">
        <v>4.8000000000000001E-2</v>
      </c>
      <c r="Y63">
        <v>5.0999999999999997E-2</v>
      </c>
      <c r="Z63">
        <v>4.7E-2</v>
      </c>
      <c r="AA63">
        <v>5.0999999999999997E-2</v>
      </c>
      <c r="AD63">
        <v>0.05</v>
      </c>
      <c r="AE63">
        <v>4.8000000000000001E-2</v>
      </c>
      <c r="AF63">
        <v>4.9000000000000002E-2</v>
      </c>
      <c r="AG63">
        <v>4.7E-2</v>
      </c>
      <c r="AH63">
        <v>4.9000000000000002E-2</v>
      </c>
      <c r="AK63">
        <v>5.1999999999999998E-2</v>
      </c>
      <c r="AL63">
        <v>5.5E-2</v>
      </c>
      <c r="AM63">
        <v>4.9000000000000002E-2</v>
      </c>
      <c r="AN63">
        <v>5.3999999999999999E-2</v>
      </c>
      <c r="AO63">
        <v>0.64</v>
      </c>
    </row>
    <row r="64" spans="1:41" hidden="1">
      <c r="A64">
        <v>62</v>
      </c>
      <c r="B64">
        <v>0.107</v>
      </c>
      <c r="C64" s="1">
        <v>8.0000000000000007E-5</v>
      </c>
      <c r="D64" s="1">
        <v>7.6000000000000004E-5</v>
      </c>
      <c r="E64" s="1">
        <v>7.3999999999999996E-5</v>
      </c>
      <c r="F64" s="1">
        <v>7.3999999999999996E-5</v>
      </c>
      <c r="G64" s="1"/>
      <c r="H64" s="1"/>
      <c r="I64">
        <v>0.114</v>
      </c>
      <c r="J64">
        <v>3.1199999999999999E-4</v>
      </c>
      <c r="K64" s="1">
        <v>5.7000000000000003E-5</v>
      </c>
      <c r="L64" s="1">
        <v>5.8999999999999998E-5</v>
      </c>
      <c r="M64" s="1">
        <v>5.3000000000000001E-5</v>
      </c>
      <c r="N64" s="1"/>
      <c r="P64">
        <v>6.5000000000000002E-2</v>
      </c>
      <c r="Q64" s="1">
        <v>6.2000000000000003E-5</v>
      </c>
      <c r="R64" s="1">
        <v>5.3000000000000001E-5</v>
      </c>
      <c r="S64" s="1">
        <v>5.7000000000000003E-5</v>
      </c>
      <c r="T64" s="1">
        <v>5.7000000000000003E-5</v>
      </c>
      <c r="U64" s="1"/>
      <c r="W64">
        <v>0.17499999999999999</v>
      </c>
      <c r="X64">
        <v>6.8000000000000005E-2</v>
      </c>
      <c r="Y64">
        <v>0.05</v>
      </c>
      <c r="Z64">
        <v>0.05</v>
      </c>
      <c r="AA64">
        <v>4.8000000000000001E-2</v>
      </c>
      <c r="AD64">
        <v>4.9000000000000002E-2</v>
      </c>
      <c r="AE64">
        <v>4.9000000000000002E-2</v>
      </c>
      <c r="AF64">
        <v>4.8000000000000001E-2</v>
      </c>
      <c r="AG64">
        <v>7.6999999999999999E-2</v>
      </c>
      <c r="AH64">
        <v>4.9000000000000002E-2</v>
      </c>
      <c r="AK64">
        <v>5.6000000000000001E-2</v>
      </c>
      <c r="AL64">
        <v>7.0000000000000007E-2</v>
      </c>
      <c r="AM64">
        <v>0.35</v>
      </c>
      <c r="AN64">
        <v>5.5E-2</v>
      </c>
      <c r="AO64">
        <v>6.8000000000000005E-2</v>
      </c>
    </row>
    <row r="65" spans="1:41" hidden="1">
      <c r="A65">
        <v>63</v>
      </c>
      <c r="B65">
        <v>1.651</v>
      </c>
      <c r="C65" s="1">
        <v>9.1000000000000003E-5</v>
      </c>
      <c r="D65" s="1">
        <v>8.0000000000000007E-5</v>
      </c>
      <c r="E65" s="1">
        <v>8.7999999999999998E-5</v>
      </c>
      <c r="F65" s="1">
        <v>7.8999999999999996E-5</v>
      </c>
      <c r="G65" s="1"/>
      <c r="I65">
        <v>5.5E-2</v>
      </c>
      <c r="J65" s="1">
        <v>6.0000000000000002E-5</v>
      </c>
      <c r="K65" s="1">
        <v>5.1999999999999997E-5</v>
      </c>
      <c r="L65">
        <v>2.9100000000000003E-4</v>
      </c>
      <c r="M65" s="1">
        <v>5.7000000000000003E-5</v>
      </c>
      <c r="N65" s="1"/>
      <c r="P65">
        <v>6.0999999999999999E-2</v>
      </c>
      <c r="Q65" s="1">
        <v>5.8999999999999998E-5</v>
      </c>
      <c r="R65">
        <v>4.75E-4</v>
      </c>
      <c r="S65" s="1">
        <v>5.7000000000000003E-5</v>
      </c>
      <c r="T65" s="1">
        <v>5.3000000000000001E-5</v>
      </c>
      <c r="U65" s="1"/>
      <c r="W65">
        <v>1.282</v>
      </c>
      <c r="X65">
        <v>5.0999999999999997E-2</v>
      </c>
      <c r="Y65">
        <v>0.05</v>
      </c>
      <c r="Z65">
        <v>0.05</v>
      </c>
      <c r="AA65">
        <v>4.8000000000000001E-2</v>
      </c>
      <c r="AD65">
        <v>0.14599999999999999</v>
      </c>
      <c r="AE65">
        <v>5.0999999999999997E-2</v>
      </c>
      <c r="AF65">
        <v>4.8000000000000001E-2</v>
      </c>
      <c r="AG65">
        <v>4.7E-2</v>
      </c>
      <c r="AH65">
        <v>4.9000000000000002E-2</v>
      </c>
      <c r="AK65">
        <v>7.0999999999999994E-2</v>
      </c>
      <c r="AL65">
        <v>6.9000000000000006E-2</v>
      </c>
      <c r="AM65">
        <v>5.7000000000000002E-2</v>
      </c>
      <c r="AN65">
        <v>5.0999999999999997E-2</v>
      </c>
      <c r="AO65">
        <v>5.8000000000000003E-2</v>
      </c>
    </row>
    <row r="66" spans="1:41" hidden="1">
      <c r="A66">
        <v>64</v>
      </c>
      <c r="B66">
        <v>0.08</v>
      </c>
      <c r="C66" s="1">
        <v>8.0000000000000007E-5</v>
      </c>
      <c r="D66" s="1">
        <v>8.3999999999999995E-5</v>
      </c>
      <c r="E66" s="1">
        <v>7.2000000000000002E-5</v>
      </c>
      <c r="F66" s="1">
        <v>1.8100000000000001E-4</v>
      </c>
      <c r="G66" s="1"/>
      <c r="H66" s="1"/>
      <c r="I66">
        <v>0.25</v>
      </c>
      <c r="J66" s="1">
        <v>5.8E-5</v>
      </c>
      <c r="K66" s="1">
        <v>5.3999999999999998E-5</v>
      </c>
      <c r="L66" s="1">
        <v>5.3000000000000001E-5</v>
      </c>
      <c r="M66" s="1">
        <v>5.3000000000000001E-5</v>
      </c>
      <c r="N66" s="1"/>
      <c r="P66">
        <v>5.5E-2</v>
      </c>
      <c r="Q66" s="1">
        <v>5.5000000000000002E-5</v>
      </c>
      <c r="R66">
        <v>5.2400000000000005E-4</v>
      </c>
      <c r="S66">
        <v>7.6880000000000004E-3</v>
      </c>
      <c r="T66" s="1">
        <v>5.8999999999999998E-5</v>
      </c>
      <c r="U66" s="1"/>
      <c r="W66">
        <v>9.8979999999999997</v>
      </c>
      <c r="X66">
        <v>0.34100000000000003</v>
      </c>
      <c r="Y66">
        <v>5.6000000000000001E-2</v>
      </c>
      <c r="Z66">
        <v>5.2999999999999999E-2</v>
      </c>
      <c r="AA66">
        <v>5.6000000000000001E-2</v>
      </c>
      <c r="AD66">
        <v>9.7460000000000004</v>
      </c>
      <c r="AE66">
        <v>0.39100000000000001</v>
      </c>
      <c r="AF66">
        <v>6.0999999999999999E-2</v>
      </c>
      <c r="AG66">
        <v>5.8000000000000003E-2</v>
      </c>
      <c r="AH66">
        <v>5.7000000000000002E-2</v>
      </c>
      <c r="AK66">
        <v>5.6000000000000001E-2</v>
      </c>
      <c r="AL66">
        <v>5.3999999999999999E-2</v>
      </c>
      <c r="AM66">
        <v>4.8000000000000001E-2</v>
      </c>
      <c r="AN66">
        <v>4.9000000000000002E-2</v>
      </c>
      <c r="AO66">
        <v>4.8000000000000001E-2</v>
      </c>
    </row>
    <row r="67" spans="1:41" hidden="1">
      <c r="A67">
        <v>65</v>
      </c>
      <c r="B67">
        <v>7.1999999999999995E-2</v>
      </c>
      <c r="C67" s="1">
        <v>7.7000000000000001E-5</v>
      </c>
      <c r="D67" s="1">
        <v>7.2999999999999999E-5</v>
      </c>
      <c r="E67" s="1">
        <v>6.7000000000000002E-5</v>
      </c>
      <c r="F67" s="1">
        <v>6.6000000000000005E-5</v>
      </c>
      <c r="G67" s="1"/>
      <c r="H67" s="1"/>
      <c r="I67">
        <v>5.5E-2</v>
      </c>
      <c r="J67" s="1">
        <v>5.5999999999999999E-5</v>
      </c>
      <c r="K67">
        <v>3.97E-4</v>
      </c>
      <c r="L67" s="1">
        <v>5.3999999999999998E-5</v>
      </c>
      <c r="M67" s="1">
        <v>5.3000000000000001E-5</v>
      </c>
      <c r="N67" s="1"/>
      <c r="P67">
        <v>5.7000000000000002E-2</v>
      </c>
      <c r="Q67" s="1">
        <v>5.7000000000000003E-5</v>
      </c>
      <c r="R67" s="1">
        <v>5.3999999999999998E-5</v>
      </c>
      <c r="S67" s="1">
        <v>5.5000000000000002E-5</v>
      </c>
      <c r="T67">
        <v>1.0809999999999999E-3</v>
      </c>
      <c r="W67">
        <v>5.5E-2</v>
      </c>
      <c r="X67">
        <v>4.8000000000000001E-2</v>
      </c>
      <c r="Y67">
        <v>6.8000000000000005E-2</v>
      </c>
      <c r="Z67">
        <v>0.191</v>
      </c>
      <c r="AA67">
        <v>0.05</v>
      </c>
      <c r="AD67">
        <v>5.7000000000000002E-2</v>
      </c>
      <c r="AE67">
        <v>5.2999999999999999E-2</v>
      </c>
      <c r="AF67">
        <v>5.5E-2</v>
      </c>
      <c r="AG67">
        <v>5.5E-2</v>
      </c>
      <c r="AH67">
        <v>5.3999999999999999E-2</v>
      </c>
      <c r="AK67">
        <v>5.0999999999999997E-2</v>
      </c>
      <c r="AL67">
        <v>1.6579999999999999</v>
      </c>
      <c r="AM67">
        <v>5.5E-2</v>
      </c>
      <c r="AN67">
        <v>5.2999999999999999E-2</v>
      </c>
      <c r="AO67">
        <v>0.06</v>
      </c>
    </row>
    <row r="68" spans="1:41" hidden="1">
      <c r="A68">
        <v>66</v>
      </c>
      <c r="B68">
        <v>7.8E-2</v>
      </c>
      <c r="C68" s="1">
        <v>7.4999999999999993E-5</v>
      </c>
      <c r="D68" s="1">
        <v>7.2000000000000002E-5</v>
      </c>
      <c r="E68" s="1">
        <v>1.7899999999999999E-4</v>
      </c>
      <c r="F68" s="1">
        <v>6.7999999999999999E-5</v>
      </c>
      <c r="G68" s="1"/>
      <c r="H68" s="1"/>
      <c r="I68">
        <v>5.5E-2</v>
      </c>
      <c r="J68" s="1">
        <v>5.5000000000000002E-5</v>
      </c>
      <c r="K68" s="1">
        <v>5.1999999999999997E-5</v>
      </c>
      <c r="L68" s="1">
        <v>5.3000000000000001E-5</v>
      </c>
      <c r="M68" s="1">
        <v>5.3000000000000001E-5</v>
      </c>
      <c r="N68" s="1"/>
      <c r="P68">
        <v>5.5E-2</v>
      </c>
      <c r="Q68">
        <v>5.22E-4</v>
      </c>
      <c r="R68" s="1">
        <v>5.7000000000000003E-5</v>
      </c>
      <c r="S68" s="1">
        <v>6.4999999999999994E-5</v>
      </c>
      <c r="T68" s="1">
        <v>5.3999999999999998E-5</v>
      </c>
      <c r="U68" s="1"/>
      <c r="W68">
        <v>5.1999999999999998E-2</v>
      </c>
      <c r="X68">
        <v>4.9000000000000002E-2</v>
      </c>
      <c r="Y68">
        <v>4.9000000000000002E-2</v>
      </c>
      <c r="Z68">
        <v>7.4999999999999997E-2</v>
      </c>
      <c r="AA68">
        <v>0.08</v>
      </c>
      <c r="AD68">
        <v>5.6000000000000001E-2</v>
      </c>
      <c r="AE68">
        <v>7.2999999999999995E-2</v>
      </c>
      <c r="AF68">
        <v>4.8000000000000001E-2</v>
      </c>
      <c r="AG68">
        <v>4.8000000000000001E-2</v>
      </c>
      <c r="AH68">
        <v>0.15</v>
      </c>
      <c r="AK68">
        <v>5.6000000000000001E-2</v>
      </c>
      <c r="AL68">
        <v>5.6000000000000001E-2</v>
      </c>
      <c r="AM68">
        <v>9.6000000000000002E-2</v>
      </c>
      <c r="AN68">
        <v>5.7000000000000002E-2</v>
      </c>
      <c r="AO68">
        <v>0.05</v>
      </c>
    </row>
    <row r="69" spans="1:41" hidden="1">
      <c r="A69">
        <v>67</v>
      </c>
      <c r="B69">
        <v>7.0999999999999994E-2</v>
      </c>
      <c r="C69" s="1">
        <v>7.1000000000000005E-5</v>
      </c>
      <c r="D69" s="1">
        <v>6.7000000000000002E-5</v>
      </c>
      <c r="E69" s="1">
        <v>1.372E-3</v>
      </c>
      <c r="F69" s="1">
        <v>6.7000000000000002E-5</v>
      </c>
      <c r="G69" s="1"/>
      <c r="H69" s="1"/>
      <c r="I69">
        <v>0.34499999999999997</v>
      </c>
      <c r="J69" s="1">
        <v>5.8E-5</v>
      </c>
      <c r="K69">
        <v>3.8000000000000002E-4</v>
      </c>
      <c r="L69" s="1">
        <v>5.5999999999999999E-5</v>
      </c>
      <c r="M69" s="1">
        <v>5.3000000000000001E-5</v>
      </c>
      <c r="N69" s="1"/>
      <c r="P69">
        <v>5.6000000000000001E-2</v>
      </c>
      <c r="Q69" s="1">
        <v>5.3999999999999998E-5</v>
      </c>
      <c r="R69" s="1">
        <v>5.3000000000000001E-5</v>
      </c>
      <c r="S69" s="1">
        <v>5.3000000000000001E-5</v>
      </c>
      <c r="T69" s="1">
        <v>5.3000000000000001E-5</v>
      </c>
      <c r="U69" s="1"/>
      <c r="W69">
        <v>5.1999999999999998E-2</v>
      </c>
      <c r="X69">
        <v>4.9000000000000002E-2</v>
      </c>
      <c r="Y69">
        <v>4.9000000000000002E-2</v>
      </c>
      <c r="Z69">
        <v>4.8000000000000001E-2</v>
      </c>
      <c r="AA69">
        <v>4.8000000000000001E-2</v>
      </c>
      <c r="AD69">
        <v>5.5E-2</v>
      </c>
      <c r="AE69">
        <v>0.05</v>
      </c>
      <c r="AF69">
        <v>0.05</v>
      </c>
      <c r="AG69">
        <v>4.9000000000000002E-2</v>
      </c>
      <c r="AH69">
        <v>0.05</v>
      </c>
      <c r="AK69">
        <v>5.1999999999999998E-2</v>
      </c>
      <c r="AL69">
        <v>0.05</v>
      </c>
      <c r="AM69">
        <v>0.05</v>
      </c>
      <c r="AN69">
        <v>0.11600000000000001</v>
      </c>
      <c r="AO69">
        <v>0.495</v>
      </c>
    </row>
    <row r="70" spans="1:41" hidden="1">
      <c r="A70">
        <v>68</v>
      </c>
      <c r="B70">
        <v>6.4000000000000001E-2</v>
      </c>
      <c r="C70">
        <v>1.13E-4</v>
      </c>
      <c r="D70" s="1">
        <v>1.05E-4</v>
      </c>
      <c r="E70" s="1">
        <v>6.3E-5</v>
      </c>
      <c r="F70" s="1">
        <v>6.2000000000000003E-5</v>
      </c>
      <c r="G70" s="1"/>
      <c r="H70" s="1"/>
      <c r="I70">
        <v>5.6000000000000001E-2</v>
      </c>
      <c r="J70" s="1">
        <v>5.5000000000000002E-5</v>
      </c>
      <c r="K70" s="1">
        <v>5.3000000000000001E-5</v>
      </c>
      <c r="L70">
        <v>1.281E-3</v>
      </c>
      <c r="M70">
        <v>1.05E-4</v>
      </c>
      <c r="P70">
        <v>0.60599999999999998</v>
      </c>
      <c r="Q70" s="1">
        <v>5.7000000000000003E-5</v>
      </c>
      <c r="R70" s="1">
        <v>5.8999999999999998E-5</v>
      </c>
      <c r="S70" s="1">
        <v>5.3000000000000001E-5</v>
      </c>
      <c r="T70" s="1">
        <v>5.1999999999999997E-5</v>
      </c>
      <c r="U70" s="1"/>
      <c r="W70">
        <v>0.05</v>
      </c>
      <c r="X70">
        <v>0.06</v>
      </c>
      <c r="Y70">
        <v>4.9000000000000002E-2</v>
      </c>
      <c r="Z70">
        <v>4.9000000000000002E-2</v>
      </c>
      <c r="AA70">
        <v>6.7000000000000004E-2</v>
      </c>
      <c r="AD70">
        <v>5.0999999999999997E-2</v>
      </c>
      <c r="AE70">
        <v>4.9000000000000002E-2</v>
      </c>
      <c r="AF70">
        <v>4.9000000000000002E-2</v>
      </c>
      <c r="AG70">
        <v>4.9000000000000002E-2</v>
      </c>
      <c r="AH70">
        <v>0.17799999999999999</v>
      </c>
      <c r="AK70">
        <v>0.154</v>
      </c>
      <c r="AL70">
        <v>7.0999999999999994E-2</v>
      </c>
      <c r="AM70">
        <v>5.1999999999999998E-2</v>
      </c>
      <c r="AN70">
        <v>5.0999999999999997E-2</v>
      </c>
      <c r="AO70">
        <v>5.1999999999999998E-2</v>
      </c>
    </row>
    <row r="71" spans="1:41" hidden="1">
      <c r="A71">
        <v>69</v>
      </c>
      <c r="B71">
        <v>6.4000000000000001E-2</v>
      </c>
      <c r="C71" s="1">
        <v>6.3999999999999997E-5</v>
      </c>
      <c r="D71" s="1">
        <v>6.0999999999999999E-5</v>
      </c>
      <c r="E71" s="1">
        <v>6.0000000000000002E-5</v>
      </c>
      <c r="F71" s="1">
        <v>6.0000000000000002E-5</v>
      </c>
      <c r="G71" s="1"/>
      <c r="H71" s="1"/>
      <c r="I71">
        <v>6.0999999999999999E-2</v>
      </c>
      <c r="J71">
        <v>1.74E-4</v>
      </c>
      <c r="K71" s="1">
        <v>5.7000000000000003E-5</v>
      </c>
      <c r="L71" s="1">
        <v>7.3999999999999996E-5</v>
      </c>
      <c r="M71" s="1">
        <v>5.8999999999999998E-5</v>
      </c>
      <c r="N71" s="1"/>
      <c r="P71">
        <v>0.06</v>
      </c>
      <c r="Q71" s="1">
        <v>5.8E-5</v>
      </c>
      <c r="R71" s="1">
        <v>5.7000000000000003E-5</v>
      </c>
      <c r="S71">
        <v>5.8200000000000005E-4</v>
      </c>
      <c r="T71" s="1">
        <v>5.5999999999999999E-5</v>
      </c>
      <c r="U71" s="1"/>
      <c r="W71">
        <v>0.14000000000000001</v>
      </c>
      <c r="X71">
        <v>5.5E-2</v>
      </c>
      <c r="Y71">
        <v>5.2999999999999999E-2</v>
      </c>
      <c r="Z71">
        <v>5.2999999999999999E-2</v>
      </c>
      <c r="AA71">
        <v>5.5E-2</v>
      </c>
      <c r="AD71">
        <v>5.1999999999999998E-2</v>
      </c>
      <c r="AE71">
        <v>0.13200000000000001</v>
      </c>
      <c r="AF71">
        <v>4.9000000000000002E-2</v>
      </c>
      <c r="AG71">
        <v>4.7E-2</v>
      </c>
      <c r="AH71">
        <v>4.8000000000000001E-2</v>
      </c>
      <c r="AK71">
        <v>13.013999999999999</v>
      </c>
      <c r="AL71">
        <v>0.20899999999999999</v>
      </c>
      <c r="AM71">
        <v>6.3E-2</v>
      </c>
      <c r="AN71">
        <v>0.05</v>
      </c>
      <c r="AO71">
        <v>5.0999999999999997E-2</v>
      </c>
    </row>
    <row r="72" spans="1:41" hidden="1">
      <c r="A72">
        <v>70</v>
      </c>
      <c r="B72">
        <v>0.159</v>
      </c>
      <c r="C72" s="1">
        <v>6.3E-5</v>
      </c>
      <c r="D72">
        <v>1.291E-2</v>
      </c>
      <c r="E72" s="1">
        <v>7.8600000000000002E-4</v>
      </c>
      <c r="F72" s="1">
        <v>6.3999999999999997E-5</v>
      </c>
      <c r="G72" s="1"/>
      <c r="I72">
        <v>5.5E-2</v>
      </c>
      <c r="J72" s="1">
        <v>5.5000000000000002E-5</v>
      </c>
      <c r="K72">
        <v>1.35E-4</v>
      </c>
      <c r="L72">
        <v>8.1110000000000002E-3</v>
      </c>
      <c r="M72" s="1">
        <v>5.3999999999999998E-5</v>
      </c>
      <c r="N72" s="1"/>
      <c r="P72">
        <v>5.6000000000000001E-2</v>
      </c>
      <c r="Q72" s="1">
        <v>5.5000000000000002E-5</v>
      </c>
      <c r="R72" s="1">
        <v>5.3000000000000001E-5</v>
      </c>
      <c r="S72" s="1">
        <v>5.1999999999999997E-5</v>
      </c>
      <c r="T72" s="1">
        <v>5.1999999999999997E-5</v>
      </c>
      <c r="U72" s="1"/>
      <c r="W72">
        <v>5.6000000000000001E-2</v>
      </c>
      <c r="X72">
        <v>5.2999999999999999E-2</v>
      </c>
      <c r="Y72">
        <v>4.9000000000000002E-2</v>
      </c>
      <c r="Z72">
        <v>4.8000000000000001E-2</v>
      </c>
      <c r="AA72">
        <v>0.13700000000000001</v>
      </c>
      <c r="AD72">
        <v>0.05</v>
      </c>
      <c r="AE72">
        <v>0.05</v>
      </c>
      <c r="AF72">
        <v>0.05</v>
      </c>
      <c r="AG72">
        <v>4.8000000000000001E-2</v>
      </c>
      <c r="AH72">
        <v>0.124</v>
      </c>
      <c r="AK72">
        <v>0.05</v>
      </c>
      <c r="AL72">
        <v>4.9000000000000002E-2</v>
      </c>
      <c r="AM72">
        <v>4.8000000000000001E-2</v>
      </c>
      <c r="AN72">
        <v>0.186</v>
      </c>
      <c r="AO72">
        <v>0.121</v>
      </c>
    </row>
    <row r="73" spans="1:41" hidden="1">
      <c r="A73">
        <v>71</v>
      </c>
      <c r="B73">
        <v>6.9000000000000006E-2</v>
      </c>
      <c r="C73" s="1">
        <v>6.3999999999999997E-5</v>
      </c>
      <c r="D73" s="1">
        <v>5.3000000000000001E-5</v>
      </c>
      <c r="E73">
        <v>1.9799999999999999E-4</v>
      </c>
      <c r="F73" s="1">
        <v>5.5999999999999999E-5</v>
      </c>
      <c r="G73" s="1"/>
      <c r="H73" s="1"/>
      <c r="I73">
        <v>0.10299999999999999</v>
      </c>
      <c r="J73" s="1">
        <v>5.7000000000000003E-5</v>
      </c>
      <c r="K73">
        <v>5.2500000000000003E-3</v>
      </c>
      <c r="L73" s="1">
        <v>5.5000000000000002E-5</v>
      </c>
      <c r="M73" s="1">
        <v>5.3999999999999998E-5</v>
      </c>
      <c r="N73" s="1"/>
      <c r="P73">
        <v>11.538</v>
      </c>
      <c r="Q73" s="1">
        <v>6.2000000000000003E-5</v>
      </c>
      <c r="R73" s="1">
        <v>5.3999999999999998E-5</v>
      </c>
      <c r="S73" s="1">
        <v>5.8999999999999998E-5</v>
      </c>
      <c r="T73" s="1">
        <v>5.3000000000000001E-5</v>
      </c>
      <c r="U73" s="1"/>
      <c r="W73">
        <v>5.0999999999999997E-2</v>
      </c>
      <c r="X73">
        <v>6.8000000000000005E-2</v>
      </c>
      <c r="Y73">
        <v>5.2999999999999999E-2</v>
      </c>
      <c r="Z73">
        <v>0.05</v>
      </c>
      <c r="AA73">
        <v>4.9000000000000002E-2</v>
      </c>
      <c r="AD73">
        <v>1.206</v>
      </c>
      <c r="AE73">
        <v>0.05</v>
      </c>
      <c r="AF73">
        <v>4.9000000000000002E-2</v>
      </c>
      <c r="AG73">
        <v>4.7E-2</v>
      </c>
      <c r="AH73">
        <v>0.05</v>
      </c>
      <c r="AK73">
        <v>5.2999999999999999E-2</v>
      </c>
      <c r="AL73">
        <v>5.3999999999999999E-2</v>
      </c>
      <c r="AM73">
        <v>7.1999999999999995E-2</v>
      </c>
      <c r="AN73">
        <v>0.186</v>
      </c>
      <c r="AO73">
        <v>5.0999999999999997E-2</v>
      </c>
    </row>
    <row r="74" spans="1:41" hidden="1">
      <c r="A74">
        <v>72</v>
      </c>
      <c r="B74">
        <v>6.0999999999999999E-2</v>
      </c>
      <c r="C74">
        <v>1.06E-4</v>
      </c>
      <c r="D74" s="1">
        <v>7.3999999999999996E-5</v>
      </c>
      <c r="E74" s="1">
        <v>7.2000000000000002E-5</v>
      </c>
      <c r="F74" s="1">
        <v>7.2000000000000002E-5</v>
      </c>
      <c r="G74" s="1"/>
      <c r="H74" s="1"/>
      <c r="I74">
        <v>5.6000000000000001E-2</v>
      </c>
      <c r="J74">
        <v>2.0100000000000001E-4</v>
      </c>
      <c r="K74" s="1">
        <v>5.5999999999999999E-5</v>
      </c>
      <c r="L74" s="1">
        <v>5.3000000000000001E-5</v>
      </c>
      <c r="M74" s="1">
        <v>5.3000000000000001E-5</v>
      </c>
      <c r="N74" s="1"/>
      <c r="P74">
        <v>5.5E-2</v>
      </c>
      <c r="Q74" s="1">
        <v>5.5000000000000002E-5</v>
      </c>
      <c r="R74" s="1">
        <v>5.5999999999999999E-5</v>
      </c>
      <c r="S74" s="1">
        <v>6.3E-5</v>
      </c>
      <c r="T74" s="1">
        <v>5.8E-5</v>
      </c>
      <c r="U74" s="1"/>
      <c r="W74">
        <v>6.7000000000000004E-2</v>
      </c>
      <c r="X74">
        <v>5.2999999999999999E-2</v>
      </c>
      <c r="Y74">
        <v>6.3E-2</v>
      </c>
      <c r="Z74">
        <v>4.9000000000000002E-2</v>
      </c>
      <c r="AA74">
        <v>5.5E-2</v>
      </c>
      <c r="AD74">
        <v>5.0999999999999997E-2</v>
      </c>
      <c r="AE74">
        <v>0.05</v>
      </c>
      <c r="AF74">
        <v>4.8000000000000001E-2</v>
      </c>
      <c r="AG74">
        <v>0.13300000000000001</v>
      </c>
      <c r="AH74">
        <v>0.121</v>
      </c>
      <c r="AK74">
        <v>5.0999999999999997E-2</v>
      </c>
      <c r="AL74">
        <v>4.9000000000000002E-2</v>
      </c>
      <c r="AM74">
        <v>0.11</v>
      </c>
      <c r="AN74">
        <v>4.9000000000000002E-2</v>
      </c>
      <c r="AO74">
        <v>4.9000000000000002E-2</v>
      </c>
    </row>
    <row r="75" spans="1:41" hidden="1">
      <c r="A75">
        <v>73</v>
      </c>
      <c r="B75">
        <v>5.8000000000000003E-2</v>
      </c>
      <c r="C75" s="1">
        <v>5.5999999999999999E-5</v>
      </c>
      <c r="D75" s="1">
        <v>5.3999999999999998E-5</v>
      </c>
      <c r="E75" s="1">
        <v>5.3000000000000001E-5</v>
      </c>
      <c r="F75" s="1">
        <v>5.1999999999999997E-5</v>
      </c>
      <c r="G75" s="1"/>
      <c r="H75" s="1"/>
      <c r="I75">
        <v>6.2E-2</v>
      </c>
      <c r="J75" s="1">
        <v>5.5999999999999999E-5</v>
      </c>
      <c r="K75" s="1">
        <v>5.3999999999999998E-5</v>
      </c>
      <c r="L75" s="1">
        <v>5.7000000000000003E-5</v>
      </c>
      <c r="M75" s="1">
        <v>6.0000000000000002E-5</v>
      </c>
      <c r="N75" s="1"/>
      <c r="P75">
        <v>6.0999999999999999E-2</v>
      </c>
      <c r="Q75">
        <v>6.5099999999999999E-4</v>
      </c>
      <c r="R75" s="1">
        <v>5.7000000000000003E-5</v>
      </c>
      <c r="S75" s="1">
        <v>5.3999999999999998E-5</v>
      </c>
      <c r="T75" s="1">
        <v>5.3000000000000001E-5</v>
      </c>
      <c r="U75" s="1"/>
      <c r="W75">
        <v>5.1999999999999998E-2</v>
      </c>
      <c r="X75">
        <v>4.9000000000000002E-2</v>
      </c>
      <c r="Y75">
        <v>4.9000000000000002E-2</v>
      </c>
      <c r="Z75">
        <v>4.8000000000000001E-2</v>
      </c>
      <c r="AA75">
        <v>4.8000000000000001E-2</v>
      </c>
      <c r="AD75">
        <v>5.2999999999999999E-2</v>
      </c>
      <c r="AE75">
        <v>4.9000000000000002E-2</v>
      </c>
      <c r="AF75">
        <v>4.8000000000000001E-2</v>
      </c>
      <c r="AG75">
        <v>4.7E-2</v>
      </c>
      <c r="AH75">
        <v>4.9000000000000002E-2</v>
      </c>
      <c r="AK75">
        <v>5.0999999999999997E-2</v>
      </c>
      <c r="AL75">
        <v>4.9000000000000002E-2</v>
      </c>
      <c r="AM75">
        <v>4.9000000000000002E-2</v>
      </c>
      <c r="AN75">
        <v>4.8000000000000001E-2</v>
      </c>
      <c r="AO75">
        <v>4.8000000000000001E-2</v>
      </c>
    </row>
    <row r="76" spans="1:41" hidden="1">
      <c r="A76">
        <v>74</v>
      </c>
      <c r="B76">
        <v>0.16500000000000001</v>
      </c>
      <c r="C76" s="1">
        <v>5.8E-5</v>
      </c>
      <c r="D76" s="1">
        <v>5.5000000000000002E-5</v>
      </c>
      <c r="E76" s="1">
        <v>5.3999999999999998E-5</v>
      </c>
      <c r="F76" s="1">
        <v>5.3000000000000001E-5</v>
      </c>
      <c r="G76" s="1"/>
      <c r="H76" s="1"/>
      <c r="I76">
        <v>0.61499999999999999</v>
      </c>
      <c r="J76" s="1">
        <v>5.7000000000000003E-5</v>
      </c>
      <c r="K76" s="1">
        <v>6.2000000000000003E-5</v>
      </c>
      <c r="L76" s="1">
        <v>6.0000000000000002E-5</v>
      </c>
      <c r="M76" s="1">
        <v>5.7000000000000003E-5</v>
      </c>
      <c r="N76" s="1"/>
      <c r="P76">
        <v>5.6000000000000001E-2</v>
      </c>
      <c r="Q76" s="1">
        <v>5.5999999999999999E-5</v>
      </c>
      <c r="R76">
        <v>1.6899999999999999E-4</v>
      </c>
      <c r="S76" s="1">
        <v>5.5999999999999999E-5</v>
      </c>
      <c r="T76" s="1">
        <v>6.0999999999999999E-5</v>
      </c>
      <c r="U76" s="1"/>
      <c r="W76">
        <v>0.05</v>
      </c>
      <c r="X76">
        <v>5.3999999999999999E-2</v>
      </c>
      <c r="Y76">
        <v>6.6000000000000003E-2</v>
      </c>
      <c r="Z76">
        <v>7.0999999999999994E-2</v>
      </c>
      <c r="AA76">
        <v>6.8000000000000005E-2</v>
      </c>
      <c r="AD76">
        <v>0.05</v>
      </c>
      <c r="AE76">
        <v>4.8000000000000001E-2</v>
      </c>
      <c r="AF76">
        <v>0.25700000000000001</v>
      </c>
      <c r="AG76">
        <v>4.9000000000000002E-2</v>
      </c>
      <c r="AH76">
        <v>4.8000000000000001E-2</v>
      </c>
      <c r="AK76">
        <v>5.1999999999999998E-2</v>
      </c>
      <c r="AL76">
        <v>4.8000000000000001E-2</v>
      </c>
      <c r="AM76">
        <v>4.8000000000000001E-2</v>
      </c>
      <c r="AN76">
        <v>4.9000000000000002E-2</v>
      </c>
      <c r="AO76">
        <v>7.0000000000000007E-2</v>
      </c>
    </row>
    <row r="77" spans="1:41" hidden="1">
      <c r="A77">
        <v>75</v>
      </c>
      <c r="B77">
        <v>5.5E-2</v>
      </c>
      <c r="C77" s="1">
        <v>5.5000000000000002E-5</v>
      </c>
      <c r="D77" s="1">
        <v>5.1999999999999997E-5</v>
      </c>
      <c r="E77" s="1">
        <v>5.3000000000000001E-5</v>
      </c>
      <c r="F77" s="1">
        <v>7.6000000000000004E-5</v>
      </c>
      <c r="G77" s="1"/>
      <c r="H77" s="1"/>
      <c r="I77">
        <v>5.8999999999999997E-2</v>
      </c>
      <c r="J77" s="1">
        <v>6.0999999999999999E-5</v>
      </c>
      <c r="K77" s="1">
        <v>5.7000000000000003E-5</v>
      </c>
      <c r="L77">
        <v>5.6800000000000004E-4</v>
      </c>
      <c r="M77" s="1">
        <v>5.5999999999999999E-5</v>
      </c>
      <c r="N77" s="1"/>
      <c r="P77">
        <v>6.2E-2</v>
      </c>
      <c r="Q77" s="1">
        <v>5.5999999999999999E-5</v>
      </c>
      <c r="R77" s="1">
        <v>5.8999999999999998E-5</v>
      </c>
      <c r="S77" s="1">
        <v>6.0000000000000002E-5</v>
      </c>
      <c r="T77" s="1">
        <v>5.7000000000000003E-5</v>
      </c>
      <c r="U77" s="1"/>
      <c r="W77">
        <v>5.6000000000000001E-2</v>
      </c>
      <c r="X77">
        <v>4.9000000000000002E-2</v>
      </c>
      <c r="Y77">
        <v>7.8E-2</v>
      </c>
      <c r="Z77">
        <v>1.998</v>
      </c>
      <c r="AA77">
        <v>0.05</v>
      </c>
      <c r="AD77">
        <v>5.0999999999999997E-2</v>
      </c>
      <c r="AE77">
        <v>4.8000000000000001E-2</v>
      </c>
      <c r="AF77">
        <v>2.2749999999999999</v>
      </c>
      <c r="AG77">
        <v>5.3999999999999999E-2</v>
      </c>
      <c r="AH77">
        <v>5.6000000000000001E-2</v>
      </c>
      <c r="AK77">
        <v>0.05</v>
      </c>
      <c r="AL77">
        <v>4.9000000000000002E-2</v>
      </c>
      <c r="AM77">
        <v>4.8000000000000001E-2</v>
      </c>
      <c r="AN77">
        <v>4.7E-2</v>
      </c>
      <c r="AO77">
        <v>7.0000000000000007E-2</v>
      </c>
    </row>
    <row r="78" spans="1:41" hidden="1">
      <c r="A78">
        <v>76</v>
      </c>
      <c r="B78">
        <v>7.6999999999999999E-2</v>
      </c>
      <c r="C78" s="1">
        <v>5.5000000000000002E-5</v>
      </c>
      <c r="D78" s="1">
        <v>5.3000000000000001E-5</v>
      </c>
      <c r="E78" s="1">
        <v>5.1999999999999997E-5</v>
      </c>
      <c r="F78" s="1">
        <v>7.9480000000000002E-3</v>
      </c>
      <c r="G78" s="1"/>
      <c r="H78" s="1"/>
      <c r="I78">
        <v>5.7000000000000002E-2</v>
      </c>
      <c r="J78" s="1">
        <v>5.5000000000000002E-5</v>
      </c>
      <c r="K78" s="1">
        <v>5.3999999999999998E-5</v>
      </c>
      <c r="L78" s="1">
        <v>5.3000000000000001E-5</v>
      </c>
      <c r="M78" s="1">
        <v>5.3000000000000001E-5</v>
      </c>
      <c r="N78" s="1"/>
      <c r="P78">
        <v>6.0999999999999999E-2</v>
      </c>
      <c r="Q78">
        <v>4.5300000000000001E-4</v>
      </c>
      <c r="R78" s="1">
        <v>5.5999999999999999E-5</v>
      </c>
      <c r="S78" s="1">
        <v>5.5000000000000002E-5</v>
      </c>
      <c r="T78" s="1">
        <v>8.7999999999999998E-5</v>
      </c>
      <c r="U78" s="1"/>
      <c r="W78">
        <v>9.8000000000000004E-2</v>
      </c>
      <c r="X78">
        <v>0.05</v>
      </c>
      <c r="Y78">
        <v>4.9000000000000002E-2</v>
      </c>
      <c r="Z78">
        <v>4.9000000000000002E-2</v>
      </c>
      <c r="AA78">
        <v>6.8029999999999999</v>
      </c>
      <c r="AD78">
        <v>0.06</v>
      </c>
      <c r="AE78">
        <v>4.8000000000000001E-2</v>
      </c>
      <c r="AF78">
        <v>7.5999999999999998E-2</v>
      </c>
      <c r="AG78">
        <v>7.1999999999999995E-2</v>
      </c>
      <c r="AH78">
        <v>13.438000000000001</v>
      </c>
      <c r="AK78">
        <v>5.1999999999999998E-2</v>
      </c>
      <c r="AL78">
        <v>4.8000000000000001E-2</v>
      </c>
      <c r="AM78">
        <v>4.9000000000000002E-2</v>
      </c>
      <c r="AN78">
        <v>4.8000000000000001E-2</v>
      </c>
      <c r="AO78">
        <v>4.8000000000000001E-2</v>
      </c>
    </row>
    <row r="79" spans="1:41" hidden="1">
      <c r="A79">
        <v>77</v>
      </c>
      <c r="B79">
        <v>8.2000000000000003E-2</v>
      </c>
      <c r="C79" s="1">
        <v>8.0000000000000007E-5</v>
      </c>
      <c r="D79" s="1">
        <v>5.8E-5</v>
      </c>
      <c r="E79" s="1">
        <v>7.3999999999999996E-5</v>
      </c>
      <c r="F79" s="1">
        <v>9.2E-5</v>
      </c>
      <c r="G79" s="1"/>
      <c r="H79" s="1"/>
      <c r="I79">
        <v>5.5E-2</v>
      </c>
      <c r="J79" s="1">
        <v>5.5000000000000002E-5</v>
      </c>
      <c r="K79">
        <v>5.13E-4</v>
      </c>
      <c r="L79" s="1">
        <v>5.5000000000000002E-5</v>
      </c>
      <c r="M79" s="1">
        <v>5.8E-5</v>
      </c>
      <c r="N79" s="1"/>
      <c r="P79">
        <v>9.1999999999999998E-2</v>
      </c>
      <c r="Q79" s="1">
        <v>6.0000000000000002E-5</v>
      </c>
      <c r="R79" s="1">
        <v>5.3999999999999998E-5</v>
      </c>
      <c r="S79" s="1">
        <v>5.3000000000000001E-5</v>
      </c>
      <c r="T79" s="1">
        <v>5.5999999999999999E-5</v>
      </c>
      <c r="U79" s="1"/>
      <c r="W79">
        <v>0.50600000000000001</v>
      </c>
      <c r="X79">
        <v>5.5E-2</v>
      </c>
      <c r="Y79">
        <v>5.3999999999999999E-2</v>
      </c>
      <c r="Z79">
        <v>5.2999999999999999E-2</v>
      </c>
      <c r="AA79">
        <v>5.0999999999999997E-2</v>
      </c>
      <c r="AD79">
        <v>0.59699999999999998</v>
      </c>
      <c r="AE79">
        <v>5.7000000000000002E-2</v>
      </c>
      <c r="AF79">
        <v>5.5E-2</v>
      </c>
      <c r="AG79">
        <v>5.6000000000000001E-2</v>
      </c>
      <c r="AH79">
        <v>5.2999999999999999E-2</v>
      </c>
      <c r="AK79">
        <v>0.05</v>
      </c>
      <c r="AL79">
        <v>4.9000000000000002E-2</v>
      </c>
      <c r="AM79">
        <v>4.9000000000000002E-2</v>
      </c>
      <c r="AN79">
        <v>4.8000000000000001E-2</v>
      </c>
      <c r="AO79">
        <v>9.0999999999999998E-2</v>
      </c>
    </row>
    <row r="80" spans="1:41" hidden="1">
      <c r="A80">
        <v>78</v>
      </c>
      <c r="B80">
        <v>5.8000000000000003E-2</v>
      </c>
      <c r="C80" s="1">
        <v>5.5000000000000002E-5</v>
      </c>
      <c r="D80" s="1">
        <v>1.36E-4</v>
      </c>
      <c r="E80" s="1">
        <v>5.3999999999999998E-5</v>
      </c>
      <c r="F80" s="1">
        <v>7.2000000000000002E-5</v>
      </c>
      <c r="G80" s="1"/>
      <c r="H80" s="1"/>
      <c r="I80">
        <v>6.0999999999999999E-2</v>
      </c>
      <c r="J80" s="1">
        <v>5.5000000000000002E-5</v>
      </c>
      <c r="K80" s="1">
        <v>5.1999999999999997E-5</v>
      </c>
      <c r="L80" s="1">
        <v>5.1999999999999997E-5</v>
      </c>
      <c r="M80">
        <v>7.3099999999999999E-4</v>
      </c>
      <c r="P80">
        <v>5.6000000000000001E-2</v>
      </c>
      <c r="Q80" s="1">
        <v>5.5000000000000002E-5</v>
      </c>
      <c r="R80" s="1">
        <v>5.3999999999999998E-5</v>
      </c>
      <c r="S80" s="1">
        <v>6.7999999999999999E-5</v>
      </c>
      <c r="T80" s="1">
        <v>6.3E-5</v>
      </c>
      <c r="U80" s="1"/>
      <c r="W80">
        <v>4.9000000000000002E-2</v>
      </c>
      <c r="X80">
        <v>0.188</v>
      </c>
      <c r="Y80">
        <v>7.4999999999999997E-2</v>
      </c>
      <c r="Z80">
        <v>4.9000000000000002E-2</v>
      </c>
      <c r="AA80">
        <v>4.4009999999999998</v>
      </c>
      <c r="AD80">
        <v>5.2999999999999999E-2</v>
      </c>
      <c r="AE80">
        <v>4.8000000000000001E-2</v>
      </c>
      <c r="AF80">
        <v>5.0999999999999997E-2</v>
      </c>
      <c r="AG80">
        <v>0.39200000000000002</v>
      </c>
      <c r="AH80">
        <v>0.05</v>
      </c>
      <c r="AK80">
        <v>0.113</v>
      </c>
      <c r="AL80">
        <v>5.2999999999999999E-2</v>
      </c>
      <c r="AM80">
        <v>0.106</v>
      </c>
      <c r="AN80">
        <v>4.9000000000000002E-2</v>
      </c>
      <c r="AO80">
        <v>4.8000000000000001E-2</v>
      </c>
    </row>
    <row r="81" spans="1:41" hidden="1">
      <c r="A81">
        <v>79</v>
      </c>
      <c r="B81">
        <v>7.4999999999999997E-2</v>
      </c>
      <c r="C81" s="1">
        <v>7.2999999999999999E-5</v>
      </c>
      <c r="D81" s="1">
        <v>6.8999999999999997E-5</v>
      </c>
      <c r="E81" s="1">
        <v>7.1000000000000005E-5</v>
      </c>
      <c r="F81" s="1">
        <v>5.1E-5</v>
      </c>
      <c r="G81" s="1"/>
      <c r="H81" s="1"/>
      <c r="I81">
        <v>0.64700000000000002</v>
      </c>
      <c r="J81" s="1">
        <v>5.8999999999999998E-5</v>
      </c>
      <c r="K81" s="1">
        <v>5.5000000000000002E-5</v>
      </c>
      <c r="L81" s="1">
        <v>5.3000000000000001E-5</v>
      </c>
      <c r="M81" s="1">
        <v>5.1999999999999997E-5</v>
      </c>
      <c r="N81" s="1"/>
      <c r="P81">
        <v>6.0999999999999999E-2</v>
      </c>
      <c r="Q81" s="1">
        <v>5.8999999999999998E-5</v>
      </c>
      <c r="R81" s="1">
        <v>5.8E-5</v>
      </c>
      <c r="S81" s="1">
        <v>5.3999999999999998E-5</v>
      </c>
      <c r="T81" s="1">
        <v>7.4999999999999993E-5</v>
      </c>
      <c r="U81" s="1"/>
      <c r="W81">
        <v>5.1999999999999998E-2</v>
      </c>
      <c r="X81">
        <v>0.05</v>
      </c>
      <c r="Y81">
        <v>5.1999999999999998E-2</v>
      </c>
      <c r="Z81">
        <v>5.0999999999999997E-2</v>
      </c>
      <c r="AA81">
        <v>5.0999999999999997E-2</v>
      </c>
      <c r="AD81">
        <v>5.8999999999999997E-2</v>
      </c>
      <c r="AE81">
        <v>4.9000000000000002E-2</v>
      </c>
      <c r="AF81">
        <v>4.8000000000000001E-2</v>
      </c>
      <c r="AG81">
        <v>4.7E-2</v>
      </c>
      <c r="AH81">
        <v>4.8000000000000001E-2</v>
      </c>
      <c r="AK81">
        <v>5.0999999999999997E-2</v>
      </c>
      <c r="AL81">
        <v>0.13200000000000001</v>
      </c>
      <c r="AM81">
        <v>5.8000000000000003E-2</v>
      </c>
      <c r="AN81">
        <v>4.7E-2</v>
      </c>
      <c r="AO81">
        <v>4.9000000000000002E-2</v>
      </c>
    </row>
    <row r="82" spans="1:41" hidden="1">
      <c r="A82">
        <v>80</v>
      </c>
      <c r="B82">
        <v>7.1999999999999995E-2</v>
      </c>
      <c r="C82">
        <v>2.0699999999999999E-4</v>
      </c>
      <c r="D82" s="1">
        <v>5.3000000000000001E-5</v>
      </c>
      <c r="E82" s="1">
        <v>5.1E-5</v>
      </c>
      <c r="F82" s="1">
        <v>6.9999999999999994E-5</v>
      </c>
      <c r="G82" s="1"/>
      <c r="I82">
        <v>5.6000000000000001E-2</v>
      </c>
      <c r="J82" s="1">
        <v>5.5000000000000002E-5</v>
      </c>
      <c r="K82" s="1">
        <v>5.3000000000000001E-5</v>
      </c>
      <c r="L82" s="1">
        <v>5.3000000000000001E-5</v>
      </c>
      <c r="M82" s="1">
        <v>6.6000000000000005E-5</v>
      </c>
      <c r="N82" s="1"/>
      <c r="P82">
        <v>7.8E-2</v>
      </c>
      <c r="Q82" s="1">
        <v>6.0999999999999999E-5</v>
      </c>
      <c r="R82" s="1">
        <v>6.0000000000000002E-5</v>
      </c>
      <c r="S82" s="1">
        <v>5.3000000000000001E-5</v>
      </c>
      <c r="T82" s="1">
        <v>5.3999999999999998E-5</v>
      </c>
      <c r="U82" s="1"/>
      <c r="W82">
        <v>5.5E-2</v>
      </c>
      <c r="X82">
        <v>0.13500000000000001</v>
      </c>
      <c r="Y82">
        <v>5.1999999999999998E-2</v>
      </c>
      <c r="Z82">
        <v>0.125</v>
      </c>
      <c r="AA82">
        <v>5.2999999999999999E-2</v>
      </c>
      <c r="AD82">
        <v>5.0999999999999997E-2</v>
      </c>
      <c r="AE82">
        <v>0.13900000000000001</v>
      </c>
      <c r="AF82">
        <v>5.3999999999999999E-2</v>
      </c>
      <c r="AG82">
        <v>6.7000000000000004E-2</v>
      </c>
      <c r="AH82">
        <v>5.3999999999999999E-2</v>
      </c>
      <c r="AK82">
        <v>0.05</v>
      </c>
      <c r="AL82">
        <v>4.8000000000000001E-2</v>
      </c>
      <c r="AM82">
        <v>7.4999999999999997E-2</v>
      </c>
      <c r="AN82">
        <v>4.8000000000000001E-2</v>
      </c>
      <c r="AO82">
        <v>4.9000000000000002E-2</v>
      </c>
    </row>
    <row r="83" spans="1:41" hidden="1">
      <c r="A83">
        <v>81</v>
      </c>
      <c r="B83">
        <v>7.3999999999999996E-2</v>
      </c>
      <c r="C83" s="1">
        <v>9.2999999999999997E-5</v>
      </c>
      <c r="D83" s="1">
        <v>7.1000000000000005E-5</v>
      </c>
      <c r="E83" s="1">
        <v>6.8999999999999997E-5</v>
      </c>
      <c r="F83" s="1">
        <v>1.9900000000000001E-4</v>
      </c>
      <c r="G83" s="1"/>
      <c r="H83" s="1"/>
      <c r="I83">
        <v>5.8000000000000003E-2</v>
      </c>
      <c r="J83" s="1">
        <v>5.5999999999999999E-5</v>
      </c>
      <c r="K83" s="1">
        <v>5.3999999999999998E-5</v>
      </c>
      <c r="L83">
        <v>8.1930000000000006E-3</v>
      </c>
      <c r="M83">
        <v>9.6100000000000005E-4</v>
      </c>
      <c r="P83">
        <v>5.7000000000000002E-2</v>
      </c>
      <c r="Q83" s="1">
        <v>6.0999999999999999E-5</v>
      </c>
      <c r="R83" s="1">
        <v>5.8999999999999998E-5</v>
      </c>
      <c r="S83" s="1">
        <v>5.1999999999999997E-5</v>
      </c>
      <c r="T83" s="1">
        <v>5.8E-5</v>
      </c>
      <c r="U83" s="1"/>
      <c r="W83">
        <v>5.0999999999999997E-2</v>
      </c>
      <c r="X83">
        <v>4.8000000000000001E-2</v>
      </c>
      <c r="Y83">
        <v>4.8000000000000001E-2</v>
      </c>
      <c r="Z83">
        <v>4.8000000000000001E-2</v>
      </c>
      <c r="AA83">
        <v>5.3999999999999999E-2</v>
      </c>
      <c r="AD83">
        <v>5.2999999999999999E-2</v>
      </c>
      <c r="AE83">
        <v>4.9000000000000002E-2</v>
      </c>
      <c r="AF83">
        <v>4.9000000000000002E-2</v>
      </c>
      <c r="AG83">
        <v>4.7E-2</v>
      </c>
      <c r="AH83">
        <v>0.05</v>
      </c>
      <c r="AK83">
        <v>5.2999999999999999E-2</v>
      </c>
      <c r="AL83">
        <v>0.05</v>
      </c>
      <c r="AM83">
        <v>4.7E-2</v>
      </c>
      <c r="AN83">
        <v>4.7E-2</v>
      </c>
      <c r="AO83">
        <v>10.227</v>
      </c>
    </row>
    <row r="84" spans="1:41" hidden="1">
      <c r="A84">
        <v>82</v>
      </c>
      <c r="B84">
        <v>5.7000000000000002E-2</v>
      </c>
      <c r="C84" s="1">
        <v>7.1000000000000005E-5</v>
      </c>
      <c r="D84" s="1">
        <v>6.8999999999999997E-5</v>
      </c>
      <c r="E84" s="1">
        <v>6.3999999999999997E-5</v>
      </c>
      <c r="F84" s="1">
        <v>5.3999999999999998E-5</v>
      </c>
      <c r="G84" s="1"/>
      <c r="H84" s="1"/>
      <c r="I84">
        <v>5.8000000000000003E-2</v>
      </c>
      <c r="J84" s="1">
        <v>8.2999999999999998E-5</v>
      </c>
      <c r="K84" s="1">
        <v>5.8999999999999998E-5</v>
      </c>
      <c r="L84" s="1">
        <v>5.7000000000000003E-5</v>
      </c>
      <c r="M84" s="1">
        <v>5.7000000000000003E-5</v>
      </c>
      <c r="N84" s="1"/>
      <c r="P84">
        <v>6.0999999999999999E-2</v>
      </c>
      <c r="Q84" s="1">
        <v>6.0999999999999999E-5</v>
      </c>
      <c r="R84" s="1">
        <v>5.8E-5</v>
      </c>
      <c r="S84" s="1">
        <v>6.0000000000000002E-5</v>
      </c>
      <c r="T84" s="1">
        <v>5.8999999999999998E-5</v>
      </c>
      <c r="U84" s="1"/>
      <c r="W84">
        <v>5.5E-2</v>
      </c>
      <c r="X84">
        <v>0.05</v>
      </c>
      <c r="Y84">
        <v>4.8000000000000001E-2</v>
      </c>
      <c r="Z84">
        <v>4.9000000000000002E-2</v>
      </c>
      <c r="AA84">
        <v>5.1999999999999998E-2</v>
      </c>
      <c r="AD84">
        <v>0.05</v>
      </c>
      <c r="AE84">
        <v>9.4E-2</v>
      </c>
      <c r="AF84">
        <v>4.9000000000000002E-2</v>
      </c>
      <c r="AG84">
        <v>4.8000000000000001E-2</v>
      </c>
      <c r="AH84">
        <v>0.05</v>
      </c>
      <c r="AK84">
        <v>0.38</v>
      </c>
      <c r="AL84">
        <v>5.5E-2</v>
      </c>
      <c r="AM84">
        <v>5.5E-2</v>
      </c>
      <c r="AN84">
        <v>5.2999999999999999E-2</v>
      </c>
      <c r="AO84">
        <v>5.1999999999999998E-2</v>
      </c>
    </row>
    <row r="85" spans="1:41" hidden="1">
      <c r="A85">
        <v>83</v>
      </c>
      <c r="B85">
        <v>6.3E-2</v>
      </c>
      <c r="C85" s="1">
        <v>5.5999999999999999E-5</v>
      </c>
      <c r="D85" s="1">
        <v>5.3000000000000001E-5</v>
      </c>
      <c r="E85" s="1">
        <v>6.3999999999999997E-5</v>
      </c>
      <c r="F85" s="1">
        <v>5.1999999999999997E-5</v>
      </c>
      <c r="G85" s="1"/>
      <c r="H85" s="1"/>
      <c r="I85">
        <v>5.8999999999999997E-2</v>
      </c>
      <c r="J85" s="1">
        <v>6.2000000000000003E-5</v>
      </c>
      <c r="K85" s="1">
        <v>5.1999999999999997E-5</v>
      </c>
      <c r="L85" s="1">
        <v>5.7000000000000003E-5</v>
      </c>
      <c r="M85" s="1">
        <v>5.3999999999999998E-5</v>
      </c>
      <c r="N85" s="1"/>
      <c r="P85">
        <v>6.4000000000000001E-2</v>
      </c>
      <c r="Q85" s="1">
        <v>6.0999999999999999E-5</v>
      </c>
      <c r="R85" s="1">
        <v>5.8999999999999998E-5</v>
      </c>
      <c r="S85" s="1">
        <v>5.8E-5</v>
      </c>
      <c r="T85" s="1">
        <v>6.0000000000000002E-5</v>
      </c>
      <c r="U85" s="1"/>
      <c r="W85">
        <v>0.05</v>
      </c>
      <c r="X85">
        <v>4.8000000000000001E-2</v>
      </c>
      <c r="Y85">
        <v>4.8000000000000001E-2</v>
      </c>
      <c r="Z85">
        <v>0.13600000000000001</v>
      </c>
      <c r="AA85">
        <v>5.0999999999999997E-2</v>
      </c>
      <c r="AD85">
        <v>5.0999999999999997E-2</v>
      </c>
      <c r="AE85">
        <v>4.8000000000000001E-2</v>
      </c>
      <c r="AF85">
        <v>5.0999999999999997E-2</v>
      </c>
      <c r="AG85">
        <v>4.9000000000000002E-2</v>
      </c>
      <c r="AH85">
        <v>0.10100000000000001</v>
      </c>
      <c r="AK85">
        <v>5.5E-2</v>
      </c>
      <c r="AL85">
        <v>5.2999999999999999E-2</v>
      </c>
      <c r="AM85">
        <v>5.5E-2</v>
      </c>
      <c r="AN85">
        <v>4.7E-2</v>
      </c>
      <c r="AO85">
        <v>4.7E-2</v>
      </c>
    </row>
    <row r="86" spans="1:41" hidden="1">
      <c r="A86">
        <v>84</v>
      </c>
      <c r="B86">
        <v>6.0999999999999999E-2</v>
      </c>
      <c r="C86" s="1">
        <v>6.0999999999999999E-5</v>
      </c>
      <c r="D86" s="1">
        <v>5.7000000000000003E-5</v>
      </c>
      <c r="E86" s="1">
        <v>5.3000000000000001E-5</v>
      </c>
      <c r="F86" s="1">
        <v>5.3000000000000001E-5</v>
      </c>
      <c r="G86" s="1"/>
      <c r="H86" s="1"/>
      <c r="I86">
        <v>6.2E-2</v>
      </c>
      <c r="J86" s="1">
        <v>5.8E-5</v>
      </c>
      <c r="K86" s="1">
        <v>9.2E-5</v>
      </c>
      <c r="L86" s="1">
        <v>6.0000000000000002E-5</v>
      </c>
      <c r="M86" s="1">
        <v>5.7000000000000003E-5</v>
      </c>
      <c r="N86" s="1"/>
      <c r="P86">
        <v>6.0999999999999999E-2</v>
      </c>
      <c r="Q86" s="1">
        <v>6.3E-5</v>
      </c>
      <c r="R86" s="1">
        <v>6.0000000000000002E-5</v>
      </c>
      <c r="S86" s="1">
        <v>5.7000000000000003E-5</v>
      </c>
      <c r="T86" s="1">
        <v>5.3000000000000001E-5</v>
      </c>
      <c r="U86" s="1"/>
      <c r="W86">
        <v>0.05</v>
      </c>
      <c r="X86">
        <v>4.9000000000000002E-2</v>
      </c>
      <c r="Y86">
        <v>5.1999999999999998E-2</v>
      </c>
      <c r="Z86">
        <v>5.0999999999999997E-2</v>
      </c>
      <c r="AA86">
        <v>5.3999999999999999E-2</v>
      </c>
      <c r="AD86">
        <v>0.16</v>
      </c>
      <c r="AE86">
        <v>5.2999999999999999E-2</v>
      </c>
      <c r="AF86">
        <v>4.9000000000000002E-2</v>
      </c>
      <c r="AG86">
        <v>4.9000000000000002E-2</v>
      </c>
      <c r="AH86">
        <v>4.9000000000000002E-2</v>
      </c>
      <c r="AK86">
        <v>5.0999999999999997E-2</v>
      </c>
      <c r="AL86">
        <v>4.8000000000000001E-2</v>
      </c>
      <c r="AM86">
        <v>0.157</v>
      </c>
      <c r="AN86">
        <v>4.9000000000000002E-2</v>
      </c>
      <c r="AO86">
        <v>4.9000000000000002E-2</v>
      </c>
    </row>
    <row r="87" spans="1:41" hidden="1">
      <c r="A87">
        <v>85</v>
      </c>
      <c r="B87">
        <v>5.6000000000000001E-2</v>
      </c>
      <c r="C87" s="1">
        <v>5.5999999999999999E-5</v>
      </c>
      <c r="D87" s="1">
        <v>5.3000000000000001E-5</v>
      </c>
      <c r="E87" s="1">
        <v>5.3000000000000001E-5</v>
      </c>
      <c r="F87" s="1">
        <v>5.3000000000000001E-5</v>
      </c>
      <c r="G87" s="1"/>
      <c r="H87" s="1"/>
      <c r="I87">
        <v>6.2E-2</v>
      </c>
      <c r="J87" s="1">
        <v>5.3999999999999998E-5</v>
      </c>
      <c r="K87" s="1">
        <v>5.8E-5</v>
      </c>
      <c r="L87" s="1">
        <v>5.7000000000000003E-5</v>
      </c>
      <c r="M87" s="1">
        <v>5.1999999999999997E-5</v>
      </c>
      <c r="N87" s="1"/>
      <c r="P87">
        <v>5.5E-2</v>
      </c>
      <c r="Q87">
        <v>2.8319999999999999E-3</v>
      </c>
      <c r="R87">
        <v>1.7799999999999999E-4</v>
      </c>
      <c r="S87" s="1">
        <v>8.2000000000000001E-5</v>
      </c>
      <c r="T87" s="1">
        <v>5.1999999999999997E-5</v>
      </c>
      <c r="U87" s="1"/>
      <c r="W87">
        <v>0.05</v>
      </c>
      <c r="X87">
        <v>0.16700000000000001</v>
      </c>
      <c r="Y87">
        <v>7.1999999999999995E-2</v>
      </c>
      <c r="Z87">
        <v>6.7000000000000004E-2</v>
      </c>
      <c r="AA87">
        <v>6.8000000000000005E-2</v>
      </c>
      <c r="AD87">
        <v>5.3999999999999999E-2</v>
      </c>
      <c r="AE87">
        <v>4.9000000000000002E-2</v>
      </c>
      <c r="AF87">
        <v>0.05</v>
      </c>
      <c r="AG87">
        <v>4.7E-2</v>
      </c>
      <c r="AH87">
        <v>4.9000000000000002E-2</v>
      </c>
      <c r="AK87">
        <v>0.05</v>
      </c>
      <c r="AL87">
        <v>0.13100000000000001</v>
      </c>
      <c r="AM87">
        <v>4.8000000000000001E-2</v>
      </c>
      <c r="AN87">
        <v>4.9000000000000002E-2</v>
      </c>
      <c r="AO87">
        <v>4.9000000000000002E-2</v>
      </c>
    </row>
    <row r="88" spans="1:41" hidden="1">
      <c r="A88">
        <v>86</v>
      </c>
      <c r="B88">
        <v>5.6000000000000001E-2</v>
      </c>
      <c r="C88" s="1">
        <v>5.5999999999999999E-5</v>
      </c>
      <c r="D88" s="1">
        <v>5.8E-5</v>
      </c>
      <c r="E88" s="1">
        <v>6.0000000000000002E-5</v>
      </c>
      <c r="F88" s="1">
        <v>5.7000000000000003E-5</v>
      </c>
      <c r="G88" s="1"/>
      <c r="H88" s="1"/>
      <c r="I88">
        <v>0.06</v>
      </c>
      <c r="J88" s="1">
        <v>6.0000000000000002E-5</v>
      </c>
      <c r="K88" s="1">
        <v>5.3999999999999998E-5</v>
      </c>
      <c r="L88" s="1">
        <v>5.8E-5</v>
      </c>
      <c r="M88" s="1">
        <v>5.8E-5</v>
      </c>
      <c r="N88" s="1"/>
      <c r="P88">
        <v>5.5E-2</v>
      </c>
      <c r="Q88" s="1">
        <v>5.5000000000000002E-5</v>
      </c>
      <c r="R88" s="1">
        <v>5.1999999999999997E-5</v>
      </c>
      <c r="S88" s="1">
        <v>5.1999999999999997E-5</v>
      </c>
      <c r="T88" s="1">
        <v>5.5999999999999999E-5</v>
      </c>
      <c r="U88" s="1"/>
      <c r="W88">
        <v>5.1999999999999998E-2</v>
      </c>
      <c r="X88">
        <v>4.9000000000000002E-2</v>
      </c>
      <c r="Y88">
        <v>4.8000000000000001E-2</v>
      </c>
      <c r="Z88">
        <v>4.8000000000000001E-2</v>
      </c>
      <c r="AA88">
        <v>4.8000000000000001E-2</v>
      </c>
      <c r="AD88">
        <v>0.05</v>
      </c>
      <c r="AE88">
        <v>4.9000000000000002E-2</v>
      </c>
      <c r="AF88">
        <v>4.9000000000000002E-2</v>
      </c>
      <c r="AG88">
        <v>4.8000000000000001E-2</v>
      </c>
      <c r="AH88">
        <v>4.8000000000000001E-2</v>
      </c>
      <c r="AK88">
        <v>5.0999999999999997E-2</v>
      </c>
      <c r="AL88">
        <v>0.05</v>
      </c>
      <c r="AM88">
        <v>4.8000000000000001E-2</v>
      </c>
      <c r="AN88">
        <v>4.7E-2</v>
      </c>
      <c r="AO88">
        <v>0.14899999999999999</v>
      </c>
    </row>
    <row r="89" spans="1:41" hidden="1">
      <c r="A89">
        <v>87</v>
      </c>
      <c r="B89">
        <v>6.3E-2</v>
      </c>
      <c r="C89" s="1">
        <v>5.8999999999999998E-5</v>
      </c>
      <c r="D89" s="1">
        <v>5.1999999999999997E-5</v>
      </c>
      <c r="E89" s="1">
        <v>2.9799999999999998E-4</v>
      </c>
      <c r="F89" s="1">
        <v>8.7000000000000001E-5</v>
      </c>
      <c r="G89" s="1"/>
      <c r="H89" s="1"/>
      <c r="I89">
        <v>6.0999999999999999E-2</v>
      </c>
      <c r="J89" s="1">
        <v>6.0999999999999999E-5</v>
      </c>
      <c r="K89" s="1">
        <v>5.8E-5</v>
      </c>
      <c r="L89" s="1">
        <v>6.0000000000000002E-5</v>
      </c>
      <c r="M89" s="1">
        <v>5.8E-5</v>
      </c>
      <c r="N89" s="1"/>
      <c r="P89">
        <v>6.0999999999999999E-2</v>
      </c>
      <c r="Q89" s="1">
        <v>6.3E-5</v>
      </c>
      <c r="R89" s="1">
        <v>6.0000000000000002E-5</v>
      </c>
      <c r="S89" s="1">
        <v>5.8999999999999998E-5</v>
      </c>
      <c r="T89" s="1">
        <v>5.3000000000000001E-5</v>
      </c>
      <c r="U89" s="1"/>
      <c r="W89">
        <v>0.05</v>
      </c>
      <c r="X89">
        <v>4.8000000000000001E-2</v>
      </c>
      <c r="Y89">
        <v>4.9000000000000002E-2</v>
      </c>
      <c r="Z89">
        <v>9.4E-2</v>
      </c>
      <c r="AA89">
        <v>0.21099999999999999</v>
      </c>
      <c r="AD89">
        <v>0.05</v>
      </c>
      <c r="AE89">
        <v>1.556</v>
      </c>
      <c r="AF89">
        <v>0.05</v>
      </c>
      <c r="AG89">
        <v>4.8000000000000001E-2</v>
      </c>
      <c r="AH89">
        <v>0.05</v>
      </c>
      <c r="AK89">
        <v>8.7999999999999995E-2</v>
      </c>
      <c r="AL89">
        <v>7.1999999999999995E-2</v>
      </c>
      <c r="AM89">
        <v>0.05</v>
      </c>
      <c r="AN89">
        <v>7.8E-2</v>
      </c>
      <c r="AO89">
        <v>4.9000000000000002E-2</v>
      </c>
    </row>
    <row r="90" spans="1:41" hidden="1">
      <c r="A90">
        <v>88</v>
      </c>
      <c r="B90">
        <v>6.2E-2</v>
      </c>
      <c r="C90" s="1">
        <v>6.0000000000000002E-5</v>
      </c>
      <c r="D90" s="1">
        <v>5.3999999999999998E-5</v>
      </c>
      <c r="E90" s="1">
        <v>5.3000000000000001E-5</v>
      </c>
      <c r="F90" s="1">
        <v>5.3999999999999998E-5</v>
      </c>
      <c r="G90" s="1"/>
      <c r="H90" s="1"/>
      <c r="I90">
        <v>5.6000000000000001E-2</v>
      </c>
      <c r="J90" s="1">
        <v>5.5000000000000002E-5</v>
      </c>
      <c r="K90">
        <v>1.0477999999999999E-2</v>
      </c>
      <c r="L90">
        <v>9.3199999999999999E-4</v>
      </c>
      <c r="M90">
        <v>1E-4</v>
      </c>
      <c r="P90">
        <v>5.6000000000000001E-2</v>
      </c>
      <c r="Q90" s="1">
        <v>5.5999999999999999E-5</v>
      </c>
      <c r="R90">
        <v>8.3850000000000001E-3</v>
      </c>
      <c r="S90">
        <v>7.7999999999999999E-4</v>
      </c>
      <c r="T90" s="1">
        <v>5.3999999999999998E-5</v>
      </c>
      <c r="U90" s="1"/>
      <c r="W90">
        <v>5.2999999999999999E-2</v>
      </c>
      <c r="X90">
        <v>9.4E-2</v>
      </c>
      <c r="Y90">
        <v>4.9000000000000002E-2</v>
      </c>
      <c r="Z90">
        <v>4.9000000000000002E-2</v>
      </c>
      <c r="AA90">
        <v>10.301</v>
      </c>
      <c r="AD90">
        <v>5.0999999999999997E-2</v>
      </c>
      <c r="AE90">
        <v>4.8000000000000001E-2</v>
      </c>
      <c r="AF90">
        <v>4.8000000000000001E-2</v>
      </c>
      <c r="AG90">
        <v>4.8000000000000001E-2</v>
      </c>
      <c r="AH90">
        <v>8.8999999999999996E-2</v>
      </c>
      <c r="AK90">
        <v>0.05</v>
      </c>
      <c r="AL90">
        <v>4.9000000000000002E-2</v>
      </c>
      <c r="AM90">
        <v>11.51</v>
      </c>
      <c r="AN90">
        <v>5.2999999999999999E-2</v>
      </c>
      <c r="AO90">
        <v>5.5E-2</v>
      </c>
    </row>
    <row r="91" spans="1:41">
      <c r="A91">
        <v>89</v>
      </c>
      <c r="B91">
        <v>5.5E-2</v>
      </c>
      <c r="C91">
        <v>1.0900000000000001E-4</v>
      </c>
      <c r="D91" s="1">
        <v>5.3999999999999998E-5</v>
      </c>
      <c r="E91" s="1">
        <v>5.3000000000000001E-5</v>
      </c>
      <c r="F91" s="1">
        <v>5.3000000000000001E-5</v>
      </c>
      <c r="G91" s="1"/>
      <c r="H91" s="1"/>
      <c r="I91">
        <v>6.3E-2</v>
      </c>
      <c r="J91" s="1">
        <v>8.2000000000000001E-5</v>
      </c>
      <c r="K91" s="1">
        <v>5.7000000000000003E-5</v>
      </c>
      <c r="L91" s="1">
        <v>5.3999999999999998E-5</v>
      </c>
      <c r="M91" s="1">
        <v>5.1999999999999997E-5</v>
      </c>
      <c r="N91" s="1"/>
      <c r="P91">
        <v>5.6000000000000001E-2</v>
      </c>
      <c r="Q91" s="1">
        <v>5.5000000000000002E-5</v>
      </c>
      <c r="R91" s="1">
        <v>5.1999999999999997E-5</v>
      </c>
      <c r="S91" s="1">
        <v>5.1999999999999997E-5</v>
      </c>
      <c r="T91" s="1">
        <v>5.1999999999999997E-5</v>
      </c>
      <c r="U91" s="1"/>
      <c r="W91">
        <v>0.93500000000000005</v>
      </c>
      <c r="X91">
        <v>5.0999999999999997E-2</v>
      </c>
      <c r="Y91">
        <v>4.9000000000000002E-2</v>
      </c>
      <c r="Z91">
        <v>4.8000000000000001E-2</v>
      </c>
      <c r="AA91">
        <v>5.2999999999999999E-2</v>
      </c>
      <c r="AD91">
        <v>0.23300000000000001</v>
      </c>
      <c r="AE91">
        <v>5.7000000000000002E-2</v>
      </c>
      <c r="AF91">
        <v>5.5E-2</v>
      </c>
      <c r="AG91">
        <v>5.2999999999999999E-2</v>
      </c>
      <c r="AH91">
        <v>4.9000000000000002E-2</v>
      </c>
      <c r="AK91">
        <v>0.06</v>
      </c>
      <c r="AL91">
        <v>5.5E-2</v>
      </c>
      <c r="AM91">
        <v>4.8000000000000001E-2</v>
      </c>
      <c r="AN91">
        <v>4.7E-2</v>
      </c>
      <c r="AO91">
        <v>4.7E-2</v>
      </c>
    </row>
    <row r="92" spans="1:41">
      <c r="A92">
        <v>90</v>
      </c>
      <c r="B92">
        <v>6.3E-2</v>
      </c>
      <c r="C92" s="1">
        <v>5.8999999999999998E-5</v>
      </c>
      <c r="D92" s="1">
        <v>5.3999999999999998E-5</v>
      </c>
      <c r="E92" s="1">
        <v>5.8E-5</v>
      </c>
      <c r="F92" s="1">
        <v>5.7000000000000003E-5</v>
      </c>
      <c r="G92" s="1"/>
      <c r="H92" s="1"/>
      <c r="I92">
        <v>0.61399999999999999</v>
      </c>
      <c r="J92" s="1">
        <v>9.0000000000000006E-5</v>
      </c>
      <c r="K92" s="1">
        <v>5.5000000000000002E-5</v>
      </c>
      <c r="L92" s="1">
        <v>5.3000000000000001E-5</v>
      </c>
      <c r="M92" s="1">
        <v>5.1999999999999997E-5</v>
      </c>
      <c r="N92" s="1"/>
      <c r="P92">
        <v>5.7000000000000002E-2</v>
      </c>
      <c r="Q92" s="1">
        <v>5.5000000000000002E-5</v>
      </c>
      <c r="R92" s="1">
        <v>5.3999999999999998E-5</v>
      </c>
      <c r="S92" s="1">
        <v>5.3000000000000001E-5</v>
      </c>
      <c r="T92" s="1">
        <v>5.8E-5</v>
      </c>
      <c r="U92" s="1"/>
      <c r="W92">
        <v>5.5E-2</v>
      </c>
      <c r="X92">
        <v>5.3999999999999999E-2</v>
      </c>
      <c r="Y92">
        <v>5.2999999999999999E-2</v>
      </c>
      <c r="Z92">
        <v>0.14399999999999999</v>
      </c>
      <c r="AA92">
        <v>0.17599999999999999</v>
      </c>
      <c r="AD92">
        <v>0.05</v>
      </c>
      <c r="AE92">
        <v>4.9000000000000002E-2</v>
      </c>
      <c r="AF92">
        <v>4.9000000000000002E-2</v>
      </c>
      <c r="AG92">
        <v>0.13400000000000001</v>
      </c>
      <c r="AH92">
        <v>0.05</v>
      </c>
      <c r="AK92">
        <v>5.3999999999999999E-2</v>
      </c>
      <c r="AL92">
        <v>4.8000000000000001E-2</v>
      </c>
      <c r="AM92">
        <v>5.5E-2</v>
      </c>
      <c r="AN92">
        <v>4.8000000000000001E-2</v>
      </c>
      <c r="AO92">
        <v>7.4999999999999997E-2</v>
      </c>
    </row>
    <row r="93" spans="1:41">
      <c r="A93">
        <v>91</v>
      </c>
      <c r="B93">
        <v>0.06</v>
      </c>
      <c r="C93" s="1">
        <v>6.0999999999999999E-5</v>
      </c>
      <c r="D93" s="1">
        <v>5.8E-5</v>
      </c>
      <c r="E93" s="1">
        <v>5.8999999999999998E-5</v>
      </c>
      <c r="F93" s="1">
        <v>5.8E-5</v>
      </c>
      <c r="G93" s="1"/>
      <c r="H93" s="1"/>
      <c r="I93">
        <v>5.5E-2</v>
      </c>
      <c r="J93" s="1">
        <v>5.5000000000000002E-5</v>
      </c>
      <c r="K93" s="1">
        <v>5.3000000000000001E-5</v>
      </c>
      <c r="L93" s="1">
        <v>5.1999999999999997E-5</v>
      </c>
      <c r="M93">
        <v>5.9299999999999999E-4</v>
      </c>
      <c r="P93">
        <v>5.6000000000000001E-2</v>
      </c>
      <c r="Q93">
        <v>2.0799999999999999E-4</v>
      </c>
      <c r="R93" s="1">
        <v>5.8E-5</v>
      </c>
      <c r="S93" s="1">
        <v>8.5000000000000006E-5</v>
      </c>
      <c r="T93">
        <v>1.13E-4</v>
      </c>
      <c r="W93">
        <v>5.5E-2</v>
      </c>
      <c r="X93">
        <v>5.1999999999999998E-2</v>
      </c>
      <c r="Y93">
        <v>0.05</v>
      </c>
      <c r="Z93">
        <v>4.8000000000000001E-2</v>
      </c>
      <c r="AA93">
        <v>4.9000000000000002E-2</v>
      </c>
      <c r="AD93">
        <v>0.05</v>
      </c>
      <c r="AE93">
        <v>9.7870000000000008</v>
      </c>
      <c r="AF93">
        <v>0.69599999999999995</v>
      </c>
      <c r="AG93">
        <v>0.10100000000000001</v>
      </c>
      <c r="AH93">
        <v>9.2999999999999999E-2</v>
      </c>
      <c r="AK93">
        <v>5.1999999999999998E-2</v>
      </c>
      <c r="AL93">
        <v>4.9000000000000002E-2</v>
      </c>
      <c r="AM93">
        <v>4.9000000000000002E-2</v>
      </c>
      <c r="AN93">
        <v>4.8000000000000001E-2</v>
      </c>
      <c r="AO93">
        <v>0.20899999999999999</v>
      </c>
    </row>
    <row r="94" spans="1:41">
      <c r="A94">
        <v>92</v>
      </c>
      <c r="B94">
        <v>6.0999999999999999E-2</v>
      </c>
      <c r="C94" s="1">
        <v>6.0000000000000002E-5</v>
      </c>
      <c r="D94" s="1">
        <v>5.8E-5</v>
      </c>
      <c r="E94" s="1">
        <v>5.7000000000000003E-5</v>
      </c>
      <c r="F94" s="1">
        <v>5.7000000000000003E-5</v>
      </c>
      <c r="G94" s="1"/>
      <c r="I94">
        <v>5.8000000000000003E-2</v>
      </c>
      <c r="J94" s="1">
        <v>6.0999999999999999E-5</v>
      </c>
      <c r="K94" s="1">
        <v>5.8E-5</v>
      </c>
      <c r="L94" s="1">
        <v>5.5999999999999999E-5</v>
      </c>
      <c r="M94" s="1">
        <v>5.1999999999999997E-5</v>
      </c>
      <c r="N94" s="1"/>
      <c r="P94">
        <v>0.06</v>
      </c>
      <c r="Q94" s="1">
        <v>6.0999999999999999E-5</v>
      </c>
      <c r="R94" s="1">
        <v>6.0000000000000002E-5</v>
      </c>
      <c r="S94" s="1">
        <v>6.0999999999999999E-5</v>
      </c>
      <c r="T94" s="1">
        <v>5.3999999999999998E-5</v>
      </c>
      <c r="U94" s="1"/>
      <c r="W94">
        <v>5.0999999999999997E-2</v>
      </c>
      <c r="X94">
        <v>4.9000000000000002E-2</v>
      </c>
      <c r="Y94">
        <v>0.13500000000000001</v>
      </c>
      <c r="Z94">
        <v>0.08</v>
      </c>
      <c r="AA94">
        <v>0.249</v>
      </c>
      <c r="AD94">
        <v>0.10299999999999999</v>
      </c>
      <c r="AE94">
        <v>9.8000000000000004E-2</v>
      </c>
      <c r="AF94">
        <v>9.5000000000000001E-2</v>
      </c>
      <c r="AG94">
        <v>8.8999999999999996E-2</v>
      </c>
      <c r="AH94">
        <v>9.5000000000000001E-2</v>
      </c>
      <c r="AK94">
        <v>5.0999999999999997E-2</v>
      </c>
      <c r="AL94">
        <v>0.05</v>
      </c>
      <c r="AM94">
        <v>7.9000000000000001E-2</v>
      </c>
      <c r="AN94">
        <v>0.78900000000000003</v>
      </c>
      <c r="AO94">
        <v>4.9000000000000002E-2</v>
      </c>
    </row>
    <row r="95" spans="1:41">
      <c r="A95">
        <v>93</v>
      </c>
      <c r="B95">
        <v>0.06</v>
      </c>
      <c r="C95" s="1">
        <v>5.8999999999999998E-5</v>
      </c>
      <c r="D95" s="1">
        <v>5.7000000000000003E-5</v>
      </c>
      <c r="E95" s="1">
        <v>5.8E-5</v>
      </c>
      <c r="F95" s="1">
        <v>5.3000000000000001E-5</v>
      </c>
      <c r="G95" s="1"/>
      <c r="H95" s="1"/>
      <c r="I95">
        <v>0.06</v>
      </c>
      <c r="J95" s="1">
        <v>5.8999999999999998E-5</v>
      </c>
      <c r="K95" s="1">
        <v>6.0999999999999999E-5</v>
      </c>
      <c r="L95" s="1">
        <v>5.8E-5</v>
      </c>
      <c r="M95" s="1">
        <v>5.7000000000000003E-5</v>
      </c>
      <c r="N95" s="1"/>
      <c r="P95">
        <v>5.6000000000000001E-2</v>
      </c>
      <c r="Q95" s="1">
        <v>6.2000000000000003E-5</v>
      </c>
      <c r="R95" s="1">
        <v>5.8999999999999998E-5</v>
      </c>
      <c r="S95" s="1">
        <v>7.4999999999999993E-5</v>
      </c>
      <c r="T95">
        <v>3.2699999999999998E-4</v>
      </c>
      <c r="W95">
        <v>5.3999999999999999E-2</v>
      </c>
      <c r="X95">
        <v>0.05</v>
      </c>
      <c r="Y95">
        <v>6.0999999999999999E-2</v>
      </c>
      <c r="Z95">
        <v>4.9000000000000002E-2</v>
      </c>
      <c r="AA95">
        <v>5.3999999999999999E-2</v>
      </c>
      <c r="AD95">
        <v>0.105</v>
      </c>
      <c r="AE95">
        <v>8.5000000000000006E-2</v>
      </c>
      <c r="AF95">
        <v>7.9000000000000001E-2</v>
      </c>
      <c r="AG95">
        <v>7.6999999999999999E-2</v>
      </c>
      <c r="AH95">
        <v>7.9000000000000001E-2</v>
      </c>
      <c r="AK95">
        <v>0.05</v>
      </c>
      <c r="AL95">
        <v>4.8000000000000001E-2</v>
      </c>
      <c r="AM95">
        <v>4.9000000000000002E-2</v>
      </c>
      <c r="AN95">
        <v>4.7E-2</v>
      </c>
      <c r="AO95">
        <v>4.8000000000000001E-2</v>
      </c>
    </row>
    <row r="96" spans="1:41">
      <c r="A96">
        <v>94</v>
      </c>
      <c r="B96">
        <v>5.6000000000000001E-2</v>
      </c>
      <c r="C96">
        <v>5.7799999999999995E-4</v>
      </c>
      <c r="D96" s="1">
        <v>5.8E-5</v>
      </c>
      <c r="E96" s="1">
        <v>5.5000000000000002E-5</v>
      </c>
      <c r="F96" s="1">
        <v>5.8E-5</v>
      </c>
      <c r="G96" s="1"/>
      <c r="H96" s="1"/>
      <c r="I96">
        <v>5.8999999999999997E-2</v>
      </c>
      <c r="J96" s="1">
        <v>6.2000000000000003E-5</v>
      </c>
      <c r="K96" s="1">
        <v>5.8E-5</v>
      </c>
      <c r="L96" s="1">
        <v>5.3999999999999998E-5</v>
      </c>
      <c r="M96" s="1">
        <v>5.3000000000000001E-5</v>
      </c>
      <c r="N96" s="1"/>
      <c r="P96">
        <v>5.8999999999999997E-2</v>
      </c>
      <c r="Q96" s="1">
        <v>9.2999999999999997E-5</v>
      </c>
      <c r="R96" s="1">
        <v>5.5999999999999999E-5</v>
      </c>
      <c r="S96" s="1">
        <v>8.5000000000000006E-5</v>
      </c>
      <c r="T96" s="1">
        <v>7.6000000000000004E-5</v>
      </c>
      <c r="U96" s="1"/>
      <c r="W96">
        <v>5.8000000000000003E-2</v>
      </c>
      <c r="X96">
        <v>5.6000000000000001E-2</v>
      </c>
      <c r="Y96">
        <v>5.6000000000000001E-2</v>
      </c>
      <c r="Z96">
        <v>5.2999999999999999E-2</v>
      </c>
      <c r="AA96">
        <v>5.0999999999999997E-2</v>
      </c>
      <c r="AD96">
        <v>0.84399999999999997</v>
      </c>
      <c r="AE96">
        <v>7.0000000000000007E-2</v>
      </c>
      <c r="AF96">
        <v>7.4999999999999997E-2</v>
      </c>
      <c r="AG96">
        <v>7.0000000000000007E-2</v>
      </c>
      <c r="AH96">
        <v>6.9000000000000006E-2</v>
      </c>
      <c r="AK96">
        <v>4.9000000000000002E-2</v>
      </c>
      <c r="AL96">
        <v>4.8000000000000001E-2</v>
      </c>
      <c r="AM96">
        <v>4.9000000000000002E-2</v>
      </c>
      <c r="AN96">
        <v>4.8000000000000001E-2</v>
      </c>
      <c r="AO96">
        <v>0.52700000000000002</v>
      </c>
    </row>
    <row r="97" spans="1:41">
      <c r="A97">
        <v>95</v>
      </c>
      <c r="B97">
        <v>0.06</v>
      </c>
      <c r="C97" s="1">
        <v>6.0000000000000002E-5</v>
      </c>
      <c r="D97" s="1">
        <v>5.3999999999999998E-5</v>
      </c>
      <c r="E97" s="1">
        <v>5.3000000000000001E-5</v>
      </c>
      <c r="F97" s="1">
        <v>5.1999999999999997E-5</v>
      </c>
      <c r="G97" s="1"/>
      <c r="H97" s="1"/>
      <c r="I97">
        <v>5.6000000000000001E-2</v>
      </c>
      <c r="J97" s="1">
        <v>6.7000000000000002E-5</v>
      </c>
      <c r="K97" s="1">
        <v>5.8999999999999998E-5</v>
      </c>
      <c r="L97" s="1">
        <v>5.8E-5</v>
      </c>
      <c r="M97" s="1">
        <v>5.5999999999999999E-5</v>
      </c>
      <c r="N97" s="1"/>
      <c r="P97">
        <v>9.8000000000000004E-2</v>
      </c>
      <c r="Q97" s="1">
        <v>9.6000000000000002E-5</v>
      </c>
      <c r="R97" s="1">
        <v>9.7999999999999997E-5</v>
      </c>
      <c r="S97" s="1">
        <v>5.3000000000000001E-5</v>
      </c>
      <c r="T97" s="1">
        <v>5.1999999999999997E-5</v>
      </c>
      <c r="U97" s="1"/>
      <c r="W97">
        <v>0.05</v>
      </c>
      <c r="X97">
        <v>7.984</v>
      </c>
      <c r="Y97">
        <v>5.1999999999999998E-2</v>
      </c>
      <c r="Z97">
        <v>4.9000000000000002E-2</v>
      </c>
      <c r="AA97">
        <v>4.9000000000000002E-2</v>
      </c>
      <c r="AD97">
        <v>7.8E-2</v>
      </c>
      <c r="AE97">
        <v>6.9000000000000006E-2</v>
      </c>
      <c r="AF97">
        <v>7.0999999999999994E-2</v>
      </c>
      <c r="AG97">
        <v>6.7000000000000004E-2</v>
      </c>
      <c r="AH97">
        <v>6.9000000000000006E-2</v>
      </c>
      <c r="AK97">
        <v>5.1999999999999998E-2</v>
      </c>
      <c r="AL97">
        <v>0.05</v>
      </c>
      <c r="AM97">
        <v>4.8000000000000001E-2</v>
      </c>
      <c r="AN97">
        <v>4.7E-2</v>
      </c>
      <c r="AO97">
        <v>4.8000000000000001E-2</v>
      </c>
    </row>
    <row r="98" spans="1:41">
      <c r="A98">
        <v>96</v>
      </c>
      <c r="B98">
        <v>12.14</v>
      </c>
      <c r="C98" s="1">
        <v>6.3999999999999997E-5</v>
      </c>
      <c r="D98" s="1">
        <v>6.4999999999999994E-5</v>
      </c>
      <c r="E98" s="1">
        <v>5.7000000000000003E-5</v>
      </c>
      <c r="F98" s="1">
        <v>8.6000000000000003E-5</v>
      </c>
      <c r="G98" s="1"/>
      <c r="H98" s="1"/>
      <c r="I98">
        <v>5.3999999999999999E-2</v>
      </c>
      <c r="J98" s="1">
        <v>6.0999999999999999E-5</v>
      </c>
      <c r="K98" s="1">
        <v>5.8999999999999998E-5</v>
      </c>
      <c r="L98" s="1">
        <v>5.7000000000000003E-5</v>
      </c>
      <c r="M98" s="1">
        <v>5.8999999999999998E-5</v>
      </c>
      <c r="N98" s="1"/>
      <c r="P98">
        <v>5.6000000000000001E-2</v>
      </c>
      <c r="Q98" s="1">
        <v>5.8E-5</v>
      </c>
      <c r="R98" s="1">
        <v>5.3000000000000001E-5</v>
      </c>
      <c r="S98" s="1">
        <v>5.3000000000000001E-5</v>
      </c>
      <c r="T98">
        <v>1.35E-4</v>
      </c>
      <c r="W98">
        <v>0.05</v>
      </c>
      <c r="X98">
        <v>4.9000000000000002E-2</v>
      </c>
      <c r="Y98">
        <v>4.8000000000000001E-2</v>
      </c>
      <c r="Z98">
        <v>4.8000000000000001E-2</v>
      </c>
      <c r="AA98">
        <v>5.1999999999999998E-2</v>
      </c>
      <c r="AD98">
        <v>8.1940000000000008</v>
      </c>
      <c r="AE98">
        <v>0.54700000000000004</v>
      </c>
      <c r="AF98">
        <v>0.104</v>
      </c>
      <c r="AG98">
        <v>0.1</v>
      </c>
      <c r="AH98">
        <v>0.107</v>
      </c>
      <c r="AK98">
        <v>5.0999999999999997E-2</v>
      </c>
      <c r="AL98">
        <v>4.9000000000000002E-2</v>
      </c>
      <c r="AM98">
        <v>4.8000000000000001E-2</v>
      </c>
      <c r="AN98">
        <v>4.7E-2</v>
      </c>
      <c r="AO98">
        <v>4.8000000000000001E-2</v>
      </c>
    </row>
    <row r="99" spans="1:41">
      <c r="A99">
        <v>97</v>
      </c>
      <c r="B99">
        <v>5.6000000000000001E-2</v>
      </c>
      <c r="C99">
        <v>1.9599999999999999E-4</v>
      </c>
      <c r="D99" s="1">
        <v>7.2999999999999999E-5</v>
      </c>
      <c r="E99" s="1">
        <v>1.085E-3</v>
      </c>
      <c r="F99" s="1">
        <v>5.1999999999999997E-5</v>
      </c>
      <c r="G99" s="1"/>
      <c r="I99">
        <v>6.2E-2</v>
      </c>
      <c r="J99" s="1">
        <v>6.0000000000000002E-5</v>
      </c>
      <c r="K99" s="1">
        <v>5.8E-5</v>
      </c>
      <c r="L99" s="1">
        <v>5.5999999999999999E-5</v>
      </c>
      <c r="M99" s="1">
        <v>5.7000000000000003E-5</v>
      </c>
      <c r="N99" s="1"/>
      <c r="P99">
        <v>5.8999999999999997E-2</v>
      </c>
      <c r="Q99" s="1">
        <v>5.5000000000000002E-5</v>
      </c>
      <c r="R99" s="1">
        <v>5.1E-5</v>
      </c>
      <c r="S99" s="1">
        <v>5.1999999999999997E-5</v>
      </c>
      <c r="T99" s="1">
        <v>5.3000000000000001E-5</v>
      </c>
      <c r="U99" s="1"/>
      <c r="W99">
        <v>5.5E-2</v>
      </c>
      <c r="X99">
        <v>4.8000000000000001E-2</v>
      </c>
      <c r="Y99">
        <v>4.8000000000000001E-2</v>
      </c>
      <c r="Z99">
        <v>7.3999999999999996E-2</v>
      </c>
      <c r="AA99">
        <v>0.05</v>
      </c>
      <c r="AD99">
        <v>9.2999999999999999E-2</v>
      </c>
      <c r="AE99">
        <v>0.09</v>
      </c>
      <c r="AF99">
        <v>9.8000000000000004E-2</v>
      </c>
      <c r="AG99">
        <v>9.5000000000000001E-2</v>
      </c>
      <c r="AH99">
        <v>9.0999999999999998E-2</v>
      </c>
      <c r="AK99">
        <v>5.0999999999999997E-2</v>
      </c>
      <c r="AL99">
        <v>4.8000000000000001E-2</v>
      </c>
      <c r="AM99">
        <v>4.8000000000000001E-2</v>
      </c>
      <c r="AN99">
        <v>4.8000000000000001E-2</v>
      </c>
      <c r="AO99">
        <v>4.8000000000000001E-2</v>
      </c>
    </row>
    <row r="100" spans="1:41">
      <c r="A100">
        <v>98</v>
      </c>
      <c r="B100">
        <v>5.6000000000000001E-2</v>
      </c>
      <c r="C100" s="1">
        <v>5.5999999999999999E-5</v>
      </c>
      <c r="D100" s="1">
        <v>5.1999999999999997E-5</v>
      </c>
      <c r="E100" s="1">
        <v>5.3000000000000001E-5</v>
      </c>
      <c r="F100" s="1">
        <v>5.3000000000000001E-5</v>
      </c>
      <c r="G100" s="1"/>
      <c r="H100" s="1"/>
      <c r="I100">
        <v>0.06</v>
      </c>
      <c r="J100" s="1">
        <v>6.0999999999999999E-5</v>
      </c>
      <c r="K100" s="1">
        <v>5.8E-5</v>
      </c>
      <c r="L100" s="1">
        <v>5.7000000000000003E-5</v>
      </c>
      <c r="M100" s="1">
        <v>5.8999999999999998E-5</v>
      </c>
      <c r="N100" s="1"/>
      <c r="P100">
        <v>5.5E-2</v>
      </c>
      <c r="Q100">
        <v>9.4439999999999993E-3</v>
      </c>
      <c r="R100" s="1">
        <v>7.2000000000000002E-5</v>
      </c>
      <c r="S100" s="1">
        <v>5.3999999999999998E-5</v>
      </c>
      <c r="T100">
        <v>2.1800000000000001E-4</v>
      </c>
      <c r="W100">
        <v>0.05</v>
      </c>
      <c r="X100">
        <v>7.1999999999999995E-2</v>
      </c>
      <c r="Y100">
        <v>4.8000000000000001E-2</v>
      </c>
      <c r="Z100">
        <v>0.14799999999999999</v>
      </c>
      <c r="AA100">
        <v>5.2999999999999999E-2</v>
      </c>
      <c r="AD100">
        <v>8.1000000000000003E-2</v>
      </c>
      <c r="AE100">
        <v>8.5000000000000006E-2</v>
      </c>
      <c r="AF100">
        <v>8.4000000000000005E-2</v>
      </c>
      <c r="AG100">
        <v>0.82199999999999995</v>
      </c>
      <c r="AH100">
        <v>7.0999999999999994E-2</v>
      </c>
      <c r="AK100">
        <v>0.05</v>
      </c>
      <c r="AL100">
        <v>4.8000000000000001E-2</v>
      </c>
      <c r="AM100">
        <v>4.8000000000000001E-2</v>
      </c>
      <c r="AN100">
        <v>4.9000000000000002E-2</v>
      </c>
      <c r="AO100">
        <v>0.10299999999999999</v>
      </c>
    </row>
    <row r="101" spans="1:41">
      <c r="A101">
        <v>99</v>
      </c>
      <c r="B101">
        <v>8.4000000000000005E-2</v>
      </c>
      <c r="C101" s="1">
        <v>5.5999999999999999E-5</v>
      </c>
      <c r="D101" s="1">
        <v>5.5000000000000002E-5</v>
      </c>
      <c r="E101" s="1">
        <v>5.1999999999999997E-5</v>
      </c>
      <c r="F101" s="1">
        <v>5.1999999999999997E-5</v>
      </c>
      <c r="G101" s="1"/>
      <c r="H101" s="1"/>
      <c r="I101">
        <v>6.0999999999999999E-2</v>
      </c>
      <c r="J101" s="1">
        <v>6.0000000000000002E-5</v>
      </c>
      <c r="K101" s="1">
        <v>5.3000000000000001E-5</v>
      </c>
      <c r="L101" s="1">
        <v>5.5999999999999999E-5</v>
      </c>
      <c r="M101" s="1">
        <v>5.8E-5</v>
      </c>
      <c r="N101" s="1"/>
      <c r="P101">
        <v>6.3E-2</v>
      </c>
      <c r="Q101" s="1">
        <v>6.2000000000000003E-5</v>
      </c>
      <c r="R101" s="1">
        <v>5.8E-5</v>
      </c>
      <c r="S101" s="1">
        <v>5.7000000000000003E-5</v>
      </c>
      <c r="T101" s="1">
        <v>5.8999999999999998E-5</v>
      </c>
      <c r="U101" s="1"/>
      <c r="W101">
        <v>5.8999999999999997E-2</v>
      </c>
      <c r="X101">
        <v>5.2999999999999999E-2</v>
      </c>
      <c r="Y101">
        <v>5.3999999999999999E-2</v>
      </c>
      <c r="Z101">
        <v>5.0999999999999997E-2</v>
      </c>
      <c r="AA101">
        <v>4.8000000000000001E-2</v>
      </c>
      <c r="AD101">
        <v>7.0999999999999994E-2</v>
      </c>
      <c r="AE101">
        <v>7.8E-2</v>
      </c>
      <c r="AF101">
        <v>7.6999999999999999E-2</v>
      </c>
      <c r="AG101">
        <v>7.5999999999999998E-2</v>
      </c>
      <c r="AH101">
        <v>7.5999999999999998E-2</v>
      </c>
      <c r="AK101">
        <v>0.05</v>
      </c>
      <c r="AL101">
        <v>4.8000000000000001E-2</v>
      </c>
      <c r="AM101">
        <v>1.855</v>
      </c>
      <c r="AN101">
        <v>0.05</v>
      </c>
      <c r="AO101">
        <v>4.9000000000000002E-2</v>
      </c>
    </row>
    <row r="102" spans="1:41">
      <c r="A102">
        <v>100</v>
      </c>
      <c r="B102">
        <v>9.0269999999999992</v>
      </c>
      <c r="C102" s="1">
        <v>5.5999999999999999E-5</v>
      </c>
      <c r="D102" s="1">
        <v>5.3999999999999998E-5</v>
      </c>
      <c r="E102" s="1">
        <v>5.8E-5</v>
      </c>
      <c r="F102" s="1">
        <v>5.5000000000000002E-5</v>
      </c>
      <c r="G102" s="1"/>
      <c r="H102" s="1"/>
      <c r="I102">
        <v>0.06</v>
      </c>
      <c r="J102" s="1">
        <v>5.5999999999999999E-5</v>
      </c>
      <c r="K102" s="1">
        <v>5.5000000000000002E-5</v>
      </c>
      <c r="L102" s="1">
        <v>5.3000000000000001E-5</v>
      </c>
      <c r="M102" s="1">
        <v>5.7000000000000003E-5</v>
      </c>
      <c r="N102" s="1"/>
      <c r="P102">
        <v>7.1999999999999995E-2</v>
      </c>
      <c r="Q102" s="1">
        <v>9.0000000000000006E-5</v>
      </c>
      <c r="R102" s="1">
        <v>9.0000000000000006E-5</v>
      </c>
      <c r="S102" s="1">
        <v>5.7000000000000003E-5</v>
      </c>
      <c r="T102" s="1">
        <v>9.0000000000000006E-5</v>
      </c>
      <c r="U102" s="1"/>
      <c r="W102">
        <v>0.05</v>
      </c>
      <c r="X102">
        <v>0.14699999999999999</v>
      </c>
      <c r="Y102">
        <v>5.1999999999999998E-2</v>
      </c>
      <c r="Z102">
        <v>4.8000000000000001E-2</v>
      </c>
      <c r="AA102">
        <v>4.8000000000000001E-2</v>
      </c>
      <c r="AD102">
        <v>7.0999999999999994E-2</v>
      </c>
      <c r="AE102">
        <v>7.5999999999999998E-2</v>
      </c>
      <c r="AF102">
        <v>8.7999999999999995E-2</v>
      </c>
      <c r="AG102">
        <v>7.3999999999999996E-2</v>
      </c>
      <c r="AH102">
        <v>6.9000000000000006E-2</v>
      </c>
      <c r="AK102">
        <v>5.1999999999999998E-2</v>
      </c>
      <c r="AL102">
        <v>5.3999999999999999E-2</v>
      </c>
      <c r="AM102">
        <v>5.2999999999999999E-2</v>
      </c>
      <c r="AN102">
        <v>5.5E-2</v>
      </c>
      <c r="AO102">
        <v>5.2999999999999999E-2</v>
      </c>
    </row>
    <row r="103" spans="1:41">
      <c r="D103" s="1"/>
      <c r="E103" s="1"/>
      <c r="F103" s="1"/>
      <c r="G103" s="1"/>
      <c r="H103" s="1"/>
    </row>
    <row r="104" spans="1:41">
      <c r="D104" s="1"/>
      <c r="E104" s="1"/>
      <c r="F104" s="1"/>
      <c r="G104" s="1"/>
      <c r="H104" s="1"/>
    </row>
    <row r="105" spans="1:41" ht="16" thickBot="1">
      <c r="A105" t="s">
        <v>25</v>
      </c>
      <c r="B105" t="s">
        <v>0</v>
      </c>
      <c r="C105" t="s">
        <v>1</v>
      </c>
      <c r="D105" s="1" t="s">
        <v>2</v>
      </c>
      <c r="E105" s="1" t="s">
        <v>3</v>
      </c>
      <c r="F105" s="1" t="s">
        <v>4</v>
      </c>
      <c r="G105" s="1"/>
      <c r="H105" s="2" t="s">
        <v>25</v>
      </c>
      <c r="I105" s="3" t="s">
        <v>0</v>
      </c>
      <c r="J105" s="3" t="s">
        <v>1</v>
      </c>
      <c r="K105" s="19" t="s">
        <v>2</v>
      </c>
      <c r="L105" s="19" t="s">
        <v>3</v>
      </c>
      <c r="M105" s="20" t="s">
        <v>4</v>
      </c>
      <c r="O105" s="2" t="s">
        <v>25</v>
      </c>
      <c r="P105" s="3" t="s">
        <v>0</v>
      </c>
      <c r="Q105" s="3" t="s">
        <v>1</v>
      </c>
      <c r="R105" s="19" t="s">
        <v>2</v>
      </c>
      <c r="S105" s="19" t="s">
        <v>3</v>
      </c>
      <c r="T105" s="20" t="s">
        <v>4</v>
      </c>
      <c r="V105" s="22" t="s">
        <v>25</v>
      </c>
      <c r="W105" s="23" t="s">
        <v>0</v>
      </c>
      <c r="X105" s="23" t="s">
        <v>1</v>
      </c>
      <c r="Y105" s="24" t="s">
        <v>2</v>
      </c>
      <c r="Z105" s="24" t="s">
        <v>3</v>
      </c>
      <c r="AA105" s="25" t="s">
        <v>4</v>
      </c>
      <c r="AC105" s="22" t="s">
        <v>25</v>
      </c>
      <c r="AD105" s="23" t="s">
        <v>0</v>
      </c>
      <c r="AE105" s="23" t="s">
        <v>1</v>
      </c>
      <c r="AF105" s="24" t="s">
        <v>2</v>
      </c>
      <c r="AG105" s="24" t="s">
        <v>3</v>
      </c>
      <c r="AH105" s="25" t="s">
        <v>4</v>
      </c>
      <c r="AJ105" s="22" t="s">
        <v>25</v>
      </c>
      <c r="AK105" s="23" t="s">
        <v>0</v>
      </c>
      <c r="AL105" s="23" t="s">
        <v>1</v>
      </c>
      <c r="AM105" s="24" t="s">
        <v>2</v>
      </c>
      <c r="AN105" s="24" t="s">
        <v>3</v>
      </c>
      <c r="AO105" s="25" t="s">
        <v>4</v>
      </c>
    </row>
    <row r="106" spans="1:41" ht="16" thickTop="1">
      <c r="A106" t="s">
        <v>8</v>
      </c>
      <c r="B106">
        <f>AVERAGE(Encrypt16x167[ECB])</f>
        <v>0.61459000000000019</v>
      </c>
      <c r="C106">
        <f>AVERAGE(Encrypt16x167[CBC])</f>
        <v>1.1755000000000005E-4</v>
      </c>
      <c r="D106">
        <f>AVERAGE(Encrypt16x167[OFB])</f>
        <v>2.8416999999999993E-4</v>
      </c>
      <c r="E106">
        <f>AVERAGE(Encrypt16x167[CFB])</f>
        <v>3.036300000000001E-4</v>
      </c>
      <c r="F106">
        <f>AVERAGE(Encrypt16x167[CTR])</f>
        <v>2.1101999999999991E-4</v>
      </c>
      <c r="H106" s="5" t="s">
        <v>8</v>
      </c>
      <c r="I106" s="6">
        <f>AVERAGE(Encrypt24x166[ECB])</f>
        <v>0.33345999999999998</v>
      </c>
      <c r="J106" s="6">
        <f>AVERAGE(Encrypt24x166[CBC])</f>
        <v>1.3219999999999996E-4</v>
      </c>
      <c r="K106" s="6">
        <f>AVERAGE(Encrypt24x166[OFB])</f>
        <v>4.0962999999999991E-4</v>
      </c>
      <c r="L106" s="6">
        <f>AVERAGE(Encrypt24x166[CFB])</f>
        <v>4.1420000000000015E-4</v>
      </c>
      <c r="M106" s="6">
        <f>AVERAGE(Encrypt24x166[CTR])</f>
        <v>2.4512000000000004E-4</v>
      </c>
      <c r="O106" s="5" t="s">
        <v>8</v>
      </c>
      <c r="P106" s="6">
        <f>AVERAGE(Encrypt32x165[ECB])</f>
        <v>0.28208</v>
      </c>
      <c r="Q106" s="6">
        <f>AVERAGE(Encrypt32x165[CBC])</f>
        <v>3.898599999999999E-4</v>
      </c>
      <c r="R106" s="6">
        <f>AVERAGE(Encrypt32x165[OFB])</f>
        <v>3.0320999999999999E-4</v>
      </c>
      <c r="S106" s="6">
        <f>AVERAGE(Encrypt32x165[CFB])</f>
        <v>2.3950000000000002E-4</v>
      </c>
      <c r="T106" s="6">
        <f>AVERAGE(Encrypt32x165[CTR])</f>
        <v>3.4611999999999995E-4</v>
      </c>
      <c r="V106" s="5" t="s">
        <v>8</v>
      </c>
      <c r="W106" s="6">
        <f>AVERAGE(Decrypt16x164[ECB])</f>
        <v>0.192</v>
      </c>
      <c r="X106" s="6">
        <f>AVERAGE(Decrypt16x164[CBC])</f>
        <v>0.33434999999999976</v>
      </c>
      <c r="Y106" s="6">
        <f>AVERAGE(Decrypt16x164[OFB])</f>
        <v>0.10549999999999995</v>
      </c>
      <c r="Z106" s="6">
        <f>AVERAGE(Decrypt16x164[CFB])</f>
        <v>0.47570999999999991</v>
      </c>
      <c r="AA106" s="7">
        <f>AVERAGE(Decrypt16x164[CTR])</f>
        <v>0.42044999999999982</v>
      </c>
      <c r="AC106" s="5" t="s">
        <v>8</v>
      </c>
      <c r="AD106" s="6">
        <f>AVERAGE(Decrypt24x163[ECB])</f>
        <v>0.49548999999999993</v>
      </c>
      <c r="AE106" s="6">
        <f>AVERAGE(Decrypt24x163[CBC])</f>
        <v>0.19748000000000004</v>
      </c>
      <c r="AF106" s="6">
        <f>AVERAGE(Decrypt24x163[OFB])</f>
        <v>0.19697999999999993</v>
      </c>
      <c r="AG106" s="6">
        <f>AVERAGE(Decrypt24x163[CFB])</f>
        <v>0.14588000000000001</v>
      </c>
      <c r="AH106" s="7">
        <f>AVERAGE(Decrypt24x163[CTR])</f>
        <v>0.40527999999999975</v>
      </c>
      <c r="AJ106" s="5" t="s">
        <v>8</v>
      </c>
      <c r="AK106" s="6">
        <f>AVERAGE(Decrypt32x162[ECB])</f>
        <v>0.24356999999999984</v>
      </c>
      <c r="AL106" s="6">
        <f>AVERAGE(Decrypt32x162[CBC])</f>
        <v>7.853000000000003E-2</v>
      </c>
      <c r="AM106" s="6">
        <f>AVERAGE(Decrypt32x162[OFB])</f>
        <v>0.50809000000000015</v>
      </c>
      <c r="AN106" s="6">
        <f>AVERAGE(Decrypt32x162[CFB])</f>
        <v>0.35026999999999975</v>
      </c>
      <c r="AO106" s="7">
        <f>AVERAGE(Decrypt32x162[CTR])</f>
        <v>0.26935999999999999</v>
      </c>
    </row>
    <row r="107" spans="1:41">
      <c r="A107" t="s">
        <v>10</v>
      </c>
      <c r="B107">
        <f>MIN(Encrypt16x167[ECB])</f>
        <v>5.5E-2</v>
      </c>
      <c r="C107">
        <f>MIN(Encrypt16x167[CBC])</f>
        <v>5.3999999999999998E-5</v>
      </c>
      <c r="D107">
        <f>MIN(Encrypt16x167[OFB])</f>
        <v>5.1999999999999997E-5</v>
      </c>
      <c r="E107">
        <f>MIN(Encrypt16x167[CFB])</f>
        <v>5.1E-5</v>
      </c>
      <c r="F107">
        <f>MIN(Encrypt16x167[CTR])</f>
        <v>5.1E-5</v>
      </c>
      <c r="H107" s="8" t="s">
        <v>10</v>
      </c>
      <c r="I107" s="9">
        <f>MIN(Encrypt24x166[ECB])</f>
        <v>5.3999999999999999E-2</v>
      </c>
      <c r="J107" s="9">
        <f>MIN(Encrypt24x166[CBC])</f>
        <v>5.3999999999999998E-5</v>
      </c>
      <c r="K107" s="9">
        <f>MIN(Encrypt24x166[OFB])</f>
        <v>5.1999999999999997E-5</v>
      </c>
      <c r="L107" s="9">
        <f>MIN(Encrypt24x166[CFB])</f>
        <v>5.1999999999999997E-5</v>
      </c>
      <c r="M107" s="9">
        <f>MIN(Encrypt24x166[CTR])</f>
        <v>5.1999999999999997E-5</v>
      </c>
      <c r="O107" s="8" t="s">
        <v>10</v>
      </c>
      <c r="P107" s="9">
        <f>MIN(Encrypt32x165[ECB])</f>
        <v>5.5E-2</v>
      </c>
      <c r="Q107" s="9">
        <f>MIN(Encrypt32x165[CBC])</f>
        <v>5.3999999999999998E-5</v>
      </c>
      <c r="R107" s="9">
        <f>MIN(Encrypt32x165[OFB])</f>
        <v>5.1E-5</v>
      </c>
      <c r="S107" s="9">
        <f>MIN(Encrypt32x165[CFB])</f>
        <v>5.1999999999999997E-5</v>
      </c>
      <c r="T107" s="9">
        <f>MIN(Encrypt32x165[CTR])</f>
        <v>5.1999999999999997E-5</v>
      </c>
      <c r="V107" s="8" t="s">
        <v>10</v>
      </c>
      <c r="W107" s="9">
        <f>MIN(Decrypt16x164[ECB])</f>
        <v>4.9000000000000002E-2</v>
      </c>
      <c r="X107" s="9">
        <f>MIN(Decrypt16x164[CBC])</f>
        <v>4.8000000000000001E-2</v>
      </c>
      <c r="Y107" s="9">
        <f>MIN(Decrypt16x164[OFB])</f>
        <v>4.8000000000000001E-2</v>
      </c>
      <c r="Z107" s="9">
        <f>MIN(Decrypt16x164[CFB])</f>
        <v>4.7E-2</v>
      </c>
      <c r="AA107" s="10">
        <f>MIN(Decrypt16x164[CTR])</f>
        <v>4.7E-2</v>
      </c>
      <c r="AC107" s="8" t="s">
        <v>10</v>
      </c>
      <c r="AD107" s="9">
        <f>MIN(Decrypt24x163[ECB])</f>
        <v>4.8000000000000001E-2</v>
      </c>
      <c r="AE107" s="9">
        <f>MIN(Decrypt24x163[CBC])</f>
        <v>4.7E-2</v>
      </c>
      <c r="AF107" s="9">
        <f>MIN(Decrypt24x163[OFB])</f>
        <v>4.8000000000000001E-2</v>
      </c>
      <c r="AG107" s="9">
        <f>MIN(Decrypt24x163[CFB])</f>
        <v>4.7E-2</v>
      </c>
      <c r="AH107" s="10">
        <f>MIN(Decrypt24x163[CTR])</f>
        <v>4.7E-2</v>
      </c>
      <c r="AJ107" s="8" t="s">
        <v>10</v>
      </c>
      <c r="AK107" s="9">
        <f>MIN(Decrypt32x162[ECB])</f>
        <v>4.9000000000000002E-2</v>
      </c>
      <c r="AL107" s="9">
        <f>MIN(Decrypt32x162[CBC])</f>
        <v>4.8000000000000001E-2</v>
      </c>
      <c r="AM107" s="9">
        <f>MIN(Decrypt32x162[OFB])</f>
        <v>4.7E-2</v>
      </c>
      <c r="AN107" s="9">
        <f>MIN(Decrypt32x162[CFB])</f>
        <v>4.5999999999999999E-2</v>
      </c>
      <c r="AO107" s="10">
        <f>MIN(Decrypt32x162[CTR])</f>
        <v>4.5999999999999999E-2</v>
      </c>
    </row>
    <row r="108" spans="1:41">
      <c r="A108" t="s">
        <v>11</v>
      </c>
      <c r="B108">
        <f>MAX(Encrypt16x167[ECB])</f>
        <v>30.164000000000001</v>
      </c>
      <c r="C108">
        <f>MAX(Encrypt16x167[CBC])</f>
        <v>1.7750000000000001E-3</v>
      </c>
      <c r="D108">
        <f>MAX(Encrypt16x167[OFB])</f>
        <v>1.291E-2</v>
      </c>
      <c r="E108">
        <f>MAX(Encrypt16x167[CFB])</f>
        <v>1.1055000000000001E-2</v>
      </c>
      <c r="F108">
        <f>MAX(Encrypt16x167[CTR])</f>
        <v>7.9480000000000002E-3</v>
      </c>
      <c r="H108" s="5" t="s">
        <v>11</v>
      </c>
      <c r="I108" s="6">
        <f>MAX(Encrypt24x166[ECB])</f>
        <v>8.0540000000000003</v>
      </c>
      <c r="J108" s="6">
        <f>MAX(Encrypt24x166[CBC])</f>
        <v>2.1480000000000002E-3</v>
      </c>
      <c r="K108" s="6">
        <f>MAX(Encrypt24x166[OFB])</f>
        <v>1.0477999999999999E-2</v>
      </c>
      <c r="L108" s="6">
        <f>MAX(Encrypt24x166[CFB])</f>
        <v>8.7740000000000005E-3</v>
      </c>
      <c r="M108" s="6">
        <f>MAX(Encrypt24x166[CTR])</f>
        <v>1.3408E-2</v>
      </c>
      <c r="O108" s="5" t="s">
        <v>11</v>
      </c>
      <c r="P108" s="6">
        <f>MAX(Encrypt32x165[ECB])</f>
        <v>11.538</v>
      </c>
      <c r="Q108" s="6">
        <f>MAX(Encrypt32x165[CBC])</f>
        <v>9.4439999999999993E-3</v>
      </c>
      <c r="R108" s="6">
        <f>MAX(Encrypt32x165[OFB])</f>
        <v>8.3850000000000001E-3</v>
      </c>
      <c r="S108" s="6">
        <f>MAX(Encrypt32x165[CFB])</f>
        <v>7.6880000000000004E-3</v>
      </c>
      <c r="T108" s="6">
        <f>MAX(Encrypt32x165[CTR])</f>
        <v>2.1111000000000001E-2</v>
      </c>
      <c r="V108" s="5" t="s">
        <v>11</v>
      </c>
      <c r="W108" s="6">
        <f>MAX(Decrypt16x164[ECB])</f>
        <v>9.8979999999999997</v>
      </c>
      <c r="X108" s="6">
        <f>MAX(Decrypt16x164[CBC])</f>
        <v>18.936</v>
      </c>
      <c r="Y108" s="6">
        <f>MAX(Decrypt16x164[OFB])</f>
        <v>3.7410000000000001</v>
      </c>
      <c r="Z108" s="6">
        <f>MAX(Decrypt16x164[CFB])</f>
        <v>24.286000000000001</v>
      </c>
      <c r="AA108" s="7">
        <f>MAX(Decrypt16x164[CTR])</f>
        <v>11.065</v>
      </c>
      <c r="AC108" s="5" t="s">
        <v>11</v>
      </c>
      <c r="AD108" s="6">
        <f>MAX(Decrypt24x163[ECB])</f>
        <v>14.6</v>
      </c>
      <c r="AE108" s="6">
        <f>MAX(Decrypt24x163[CBC])</f>
        <v>9.7870000000000008</v>
      </c>
      <c r="AF108" s="6">
        <f>MAX(Decrypt24x163[OFB])</f>
        <v>8.9719999999999995</v>
      </c>
      <c r="AG108" s="6">
        <f>MAX(Decrypt24x163[CFB])</f>
        <v>4.6219999999999999</v>
      </c>
      <c r="AH108" s="7">
        <f>MAX(Decrypt24x163[CTR])</f>
        <v>13.438000000000001</v>
      </c>
      <c r="AJ108" s="5" t="s">
        <v>11</v>
      </c>
      <c r="AK108" s="6">
        <f>MAX(Decrypt32x162[ECB])</f>
        <v>13.013999999999999</v>
      </c>
      <c r="AL108" s="6">
        <f>MAX(Decrypt32x162[CBC])</f>
        <v>1.6579999999999999</v>
      </c>
      <c r="AM108" s="6">
        <f>MAX(Decrypt32x162[OFB])</f>
        <v>11.51</v>
      </c>
      <c r="AN108" s="6">
        <f>MAX(Decrypt32x162[CFB])</f>
        <v>10.766999999999999</v>
      </c>
      <c r="AO108" s="7">
        <f>MAX(Decrypt32x162[CTR])</f>
        <v>10.227</v>
      </c>
    </row>
    <row r="109" spans="1:41">
      <c r="A109" t="s">
        <v>9</v>
      </c>
      <c r="B109">
        <f>MEDIAN(Encrypt16x167[ECB])</f>
        <v>6.4000000000000001E-2</v>
      </c>
      <c r="C109">
        <f>MEDIAN(Encrypt16x167[CBC])</f>
        <v>6.3999999999999997E-5</v>
      </c>
      <c r="D109">
        <f>MEDIAN(Encrypt16x167[OFB])</f>
        <v>5.8E-5</v>
      </c>
      <c r="E109">
        <f>MEDIAN(Encrypt16x167[CFB])</f>
        <v>6.05E-5</v>
      </c>
      <c r="F109">
        <f>MEDIAN(Encrypt16x167[CTR])</f>
        <v>6.0000000000000002E-5</v>
      </c>
      <c r="H109" s="11" t="s">
        <v>9</v>
      </c>
      <c r="I109" s="12">
        <f>MEDIAN(Encrypt24x166[ECB])</f>
        <v>6.0999999999999999E-2</v>
      </c>
      <c r="J109" s="12">
        <f>MEDIAN(Encrypt24x166[CBC])</f>
        <v>6.0999999999999999E-5</v>
      </c>
      <c r="K109" s="12">
        <f>MEDIAN(Encrypt24x166[OFB])</f>
        <v>5.8E-5</v>
      </c>
      <c r="L109" s="12">
        <f>MEDIAN(Encrypt24x166[CFB])</f>
        <v>5.7000000000000003E-5</v>
      </c>
      <c r="M109" s="12">
        <f>MEDIAN(Encrypt24x166[CTR])</f>
        <v>5.8E-5</v>
      </c>
      <c r="O109" s="11" t="s">
        <v>9</v>
      </c>
      <c r="P109" s="12">
        <f>MEDIAN(Encrypt32x165[ECB])</f>
        <v>6.0999999999999999E-2</v>
      </c>
      <c r="Q109" s="12">
        <f>MEDIAN(Encrypt32x165[CBC])</f>
        <v>6.2000000000000003E-5</v>
      </c>
      <c r="R109" s="12">
        <f>MEDIAN(Encrypt32x165[OFB])</f>
        <v>5.8999999999999998E-5</v>
      </c>
      <c r="S109" s="12">
        <f>MEDIAN(Encrypt32x165[CFB])</f>
        <v>5.8999999999999998E-5</v>
      </c>
      <c r="T109" s="12">
        <f>MEDIAN(Encrypt32x165[CTR])</f>
        <v>5.8999999999999998E-5</v>
      </c>
      <c r="V109" s="11" t="s">
        <v>9</v>
      </c>
      <c r="W109" s="12">
        <f>MEDIAN(Decrypt16x164[ECB])</f>
        <v>5.5E-2</v>
      </c>
      <c r="X109" s="12">
        <f>MEDIAN(Decrypt16x164[CBC])</f>
        <v>5.2999999999999999E-2</v>
      </c>
      <c r="Y109" s="12">
        <f>MEDIAN(Decrypt16x164[OFB])</f>
        <v>5.1999999999999998E-2</v>
      </c>
      <c r="Z109" s="12">
        <f>MEDIAN(Decrypt16x164[CFB])</f>
        <v>5.2999999999999999E-2</v>
      </c>
      <c r="AA109" s="13">
        <f>MEDIAN(Decrypt16x164[CTR])</f>
        <v>5.2999999999999999E-2</v>
      </c>
      <c r="AC109" s="11" t="s">
        <v>9</v>
      </c>
      <c r="AD109" s="12">
        <f>MEDIAN(Decrypt24x163[ECB])</f>
        <v>5.8999999999999997E-2</v>
      </c>
      <c r="AE109" s="12">
        <f>MEDIAN(Decrypt24x163[CBC])</f>
        <v>5.6500000000000002E-2</v>
      </c>
      <c r="AF109" s="12">
        <f>MEDIAN(Decrypt24x163[OFB])</f>
        <v>5.45E-2</v>
      </c>
      <c r="AG109" s="12">
        <f>MEDIAN(Decrypt24x163[CFB])</f>
        <v>5.5E-2</v>
      </c>
      <c r="AH109" s="13">
        <f>MEDIAN(Decrypt24x163[CTR])</f>
        <v>5.45E-2</v>
      </c>
      <c r="AJ109" s="11" t="s">
        <v>9</v>
      </c>
      <c r="AK109" s="12">
        <f>MEDIAN(Decrypt32x162[ECB])</f>
        <v>5.6000000000000001E-2</v>
      </c>
      <c r="AL109" s="12">
        <f>MEDIAN(Decrypt32x162[CBC])</f>
        <v>5.3499999999999999E-2</v>
      </c>
      <c r="AM109" s="12">
        <f>MEDIAN(Decrypt32x162[OFB])</f>
        <v>5.5E-2</v>
      </c>
      <c r="AN109" s="12">
        <f>MEDIAN(Decrypt32x162[CFB])</f>
        <v>5.2999999999999999E-2</v>
      </c>
      <c r="AO109" s="13">
        <f>MEDIAN(Decrypt32x162[CTR])</f>
        <v>5.3999999999999999E-2</v>
      </c>
    </row>
    <row r="110" spans="1:41">
      <c r="E110" s="1"/>
      <c r="H110" s="1"/>
    </row>
    <row r="111" spans="1:41">
      <c r="D111" s="1"/>
      <c r="E111" s="1"/>
      <c r="F111" s="1"/>
      <c r="G111" s="1"/>
      <c r="H111" s="1"/>
    </row>
    <row r="112" spans="1:41">
      <c r="D112" s="1"/>
      <c r="E112" s="1"/>
      <c r="F112" s="1"/>
      <c r="G112" s="1"/>
      <c r="H112" s="1"/>
    </row>
    <row r="113" spans="4:8">
      <c r="D113" s="1"/>
      <c r="E113" s="1"/>
      <c r="F113" s="1"/>
      <c r="G113" s="1"/>
      <c r="H113" s="1"/>
    </row>
    <row r="114" spans="4:8">
      <c r="D114" s="1"/>
      <c r="E114" s="1"/>
      <c r="F114" s="1"/>
      <c r="G114" s="1"/>
      <c r="H114" s="1"/>
    </row>
    <row r="115" spans="4:8">
      <c r="H115" s="1"/>
    </row>
    <row r="120" spans="4:8">
      <c r="D120" s="1"/>
      <c r="E120" s="1"/>
      <c r="F120" s="1"/>
      <c r="G120" s="1"/>
    </row>
    <row r="121" spans="4:8">
      <c r="D121" s="1"/>
      <c r="E121" s="1"/>
      <c r="F121" s="1"/>
      <c r="G121" s="1"/>
      <c r="H121" s="1"/>
    </row>
    <row r="122" spans="4:8">
      <c r="D122" s="1"/>
      <c r="E122" s="1"/>
      <c r="F122" s="1"/>
      <c r="G122" s="1"/>
      <c r="H122" s="1"/>
    </row>
    <row r="123" spans="4:8">
      <c r="D123" s="1"/>
      <c r="F123" s="1"/>
      <c r="G123" s="1"/>
      <c r="H123" s="1"/>
    </row>
    <row r="124" spans="4:8">
      <c r="D124" s="1"/>
      <c r="E124" s="1"/>
      <c r="F124" s="1"/>
      <c r="G124" s="1"/>
      <c r="H124" s="1"/>
    </row>
    <row r="125" spans="4:8">
      <c r="E125" s="1"/>
      <c r="F125" s="1"/>
      <c r="G125" s="1"/>
      <c r="H125" s="1"/>
    </row>
    <row r="126" spans="4:8">
      <c r="D126" s="1"/>
      <c r="E126" s="1"/>
      <c r="H126" s="1"/>
    </row>
    <row r="127" spans="4:8">
      <c r="D127" s="1"/>
      <c r="E127" s="1"/>
      <c r="F127" s="1"/>
      <c r="G127" s="1"/>
    </row>
    <row r="128" spans="4:8">
      <c r="D128" s="1"/>
      <c r="E128" s="1"/>
      <c r="F128" s="1"/>
      <c r="G128" s="1"/>
      <c r="H128" s="1"/>
    </row>
    <row r="129" spans="4:8">
      <c r="E129" s="1"/>
      <c r="F129" s="1"/>
      <c r="G129" s="1"/>
      <c r="H129" s="1"/>
    </row>
    <row r="130" spans="4:8">
      <c r="D130" s="1"/>
      <c r="E130" s="1"/>
      <c r="F130" s="1"/>
      <c r="G130" s="1"/>
      <c r="H130" s="1"/>
    </row>
    <row r="131" spans="4:8">
      <c r="D131" s="1"/>
      <c r="E131" s="1"/>
      <c r="F131" s="1"/>
      <c r="G131" s="1"/>
      <c r="H131" s="1"/>
    </row>
    <row r="132" spans="4:8">
      <c r="D132" s="1"/>
      <c r="E132" s="1"/>
      <c r="F132" s="1"/>
      <c r="G132" s="1"/>
    </row>
    <row r="133" spans="4:8">
      <c r="D133" s="1"/>
      <c r="F133" s="1"/>
      <c r="G133" s="1"/>
      <c r="H133" s="1"/>
    </row>
    <row r="134" spans="4:8">
      <c r="D134" s="1"/>
      <c r="E134" s="1"/>
      <c r="H134" s="1"/>
    </row>
    <row r="135" spans="4:8">
      <c r="E135" s="1"/>
      <c r="F135" s="1"/>
      <c r="G135" s="1"/>
    </row>
    <row r="136" spans="4:8">
      <c r="D136" s="1"/>
      <c r="E136" s="1"/>
      <c r="F136" s="1"/>
      <c r="G136" s="1"/>
      <c r="H136" s="1"/>
    </row>
    <row r="137" spans="4:8">
      <c r="D137" s="1"/>
    </row>
    <row r="138" spans="4:8">
      <c r="D138" s="1"/>
      <c r="E138" s="1"/>
      <c r="F138" s="1"/>
      <c r="G138" s="1"/>
    </row>
    <row r="139" spans="4:8">
      <c r="D139" s="1"/>
      <c r="E139" s="1"/>
      <c r="F139" s="1"/>
      <c r="G139" s="1"/>
      <c r="H139" s="1"/>
    </row>
    <row r="142" spans="4:8">
      <c r="D142" s="1"/>
      <c r="F142" s="1"/>
      <c r="G142" s="1"/>
    </row>
    <row r="143" spans="4:8">
      <c r="E143" s="1"/>
      <c r="F143" s="1"/>
      <c r="G143" s="1"/>
    </row>
    <row r="144" spans="4:8">
      <c r="D144" s="1"/>
      <c r="E144" s="1"/>
      <c r="F144" s="1"/>
      <c r="G144" s="1"/>
      <c r="H144" s="1"/>
    </row>
    <row r="145" spans="4:8">
      <c r="D145" s="1"/>
      <c r="E145" s="1"/>
      <c r="H145" s="1"/>
    </row>
    <row r="146" spans="4:8">
      <c r="D146" s="1"/>
      <c r="E146" s="1"/>
      <c r="F146" s="1"/>
      <c r="G146" s="1"/>
      <c r="H146" s="1"/>
    </row>
    <row r="147" spans="4:8">
      <c r="D147" s="1"/>
      <c r="E147" s="1"/>
      <c r="H147" s="1"/>
    </row>
    <row r="148" spans="4:8">
      <c r="E148" s="1"/>
      <c r="F148" s="1"/>
      <c r="G148" s="1"/>
      <c r="H148" s="1"/>
    </row>
    <row r="149" spans="4:8">
      <c r="E149" s="1"/>
      <c r="F149" s="1"/>
      <c r="G149" s="1"/>
      <c r="H149" s="1"/>
    </row>
    <row r="150" spans="4:8">
      <c r="D150" s="1"/>
      <c r="E150" s="1"/>
      <c r="F150" s="1"/>
      <c r="G150" s="1"/>
    </row>
    <row r="151" spans="4:8">
      <c r="D151" s="1"/>
      <c r="E151" s="1"/>
      <c r="F151" s="1"/>
      <c r="G151" s="1"/>
      <c r="H151" s="1"/>
    </row>
    <row r="152" spans="4:8">
      <c r="D152" s="1"/>
      <c r="E152" s="1"/>
      <c r="F152" s="1"/>
      <c r="G152" s="1"/>
      <c r="H152" s="1"/>
    </row>
    <row r="153" spans="4:8">
      <c r="D153" s="1"/>
      <c r="F153" s="1"/>
      <c r="G153" s="1"/>
      <c r="H153" s="1"/>
    </row>
    <row r="154" spans="4:8">
      <c r="D154" s="1"/>
      <c r="E154" s="1"/>
      <c r="F154" s="1"/>
      <c r="G154" s="1"/>
      <c r="H154" s="1"/>
    </row>
    <row r="155" spans="4:8">
      <c r="E155" s="1"/>
      <c r="H155" s="1"/>
    </row>
    <row r="156" spans="4:8">
      <c r="D156" s="1"/>
      <c r="E156" s="1"/>
      <c r="F156" s="1"/>
      <c r="G156" s="1"/>
      <c r="H156" s="1"/>
    </row>
    <row r="157" spans="4:8">
      <c r="D157" s="1"/>
      <c r="E157" s="1"/>
      <c r="F157" s="1"/>
      <c r="G157" s="1"/>
      <c r="H157" s="1"/>
    </row>
    <row r="158" spans="4:8">
      <c r="D158" s="1"/>
      <c r="E158" s="1"/>
      <c r="F158" s="1"/>
      <c r="G158" s="1"/>
      <c r="H158" s="1"/>
    </row>
    <row r="159" spans="4:8">
      <c r="D159" s="1"/>
      <c r="E159" s="1"/>
      <c r="F159" s="1"/>
      <c r="G159" s="1"/>
      <c r="H159" s="1"/>
    </row>
    <row r="160" spans="4:8">
      <c r="D160" s="1"/>
      <c r="E160" s="1"/>
      <c r="F160" s="1"/>
      <c r="G160" s="1"/>
      <c r="H160" s="1"/>
    </row>
    <row r="161" spans="4:8">
      <c r="D161" s="1"/>
      <c r="E161" s="1"/>
      <c r="F161" s="1"/>
      <c r="G161" s="1"/>
      <c r="H161" s="1"/>
    </row>
    <row r="162" spans="4:8">
      <c r="D162" s="1"/>
      <c r="E162" s="1"/>
      <c r="F162" s="1"/>
      <c r="G162" s="1"/>
      <c r="H162" s="1"/>
    </row>
    <row r="163" spans="4:8">
      <c r="D163" s="1"/>
      <c r="E163" s="1"/>
      <c r="H163" s="1"/>
    </row>
    <row r="164" spans="4:8">
      <c r="D164" s="1"/>
      <c r="E164" s="1"/>
      <c r="F164" s="1"/>
      <c r="G164" s="1"/>
    </row>
    <row r="165" spans="4:8">
      <c r="D165" s="1"/>
      <c r="H165" s="1"/>
    </row>
    <row r="166" spans="4:8">
      <c r="D166" s="1"/>
      <c r="E166" s="1"/>
      <c r="F166" s="1"/>
      <c r="G166" s="1"/>
    </row>
    <row r="167" spans="4:8">
      <c r="E167" s="1"/>
      <c r="F167" s="1"/>
      <c r="G167" s="1"/>
    </row>
    <row r="168" spans="4:8">
      <c r="D168" s="1"/>
      <c r="F168" s="1"/>
      <c r="G168" s="1"/>
      <c r="H168" s="1"/>
    </row>
    <row r="169" spans="4:8">
      <c r="D169" s="1"/>
      <c r="E169" s="1"/>
      <c r="F169" s="1"/>
      <c r="G169" s="1"/>
      <c r="H169" s="1"/>
    </row>
    <row r="170" spans="4:8">
      <c r="E170" s="1"/>
      <c r="F170" s="1"/>
      <c r="G170" s="1"/>
      <c r="H170" s="1"/>
    </row>
    <row r="171" spans="4:8">
      <c r="D171" s="1"/>
      <c r="E171" s="1"/>
      <c r="F171" s="1"/>
      <c r="G171" s="1"/>
      <c r="H171" s="1"/>
    </row>
    <row r="172" spans="4:8">
      <c r="F172" s="1"/>
      <c r="G172" s="1"/>
      <c r="H172" s="1"/>
    </row>
    <row r="173" spans="4:8">
      <c r="D173" s="1"/>
      <c r="E173" s="1"/>
      <c r="F173" s="1"/>
      <c r="G173" s="1"/>
      <c r="H173" s="1"/>
    </row>
    <row r="174" spans="4:8">
      <c r="F174" s="1"/>
      <c r="G174" s="1"/>
      <c r="H174" s="1"/>
    </row>
    <row r="175" spans="4:8">
      <c r="D175" s="1"/>
      <c r="E175" s="1"/>
      <c r="F175" s="1"/>
      <c r="G175" s="1"/>
      <c r="H175" s="1"/>
    </row>
    <row r="176" spans="4:8">
      <c r="D176" s="1"/>
      <c r="F176" s="1"/>
      <c r="G176" s="1"/>
    </row>
    <row r="177" spans="4:8">
      <c r="D177" s="1"/>
      <c r="E177" s="1"/>
      <c r="H177" s="1"/>
    </row>
    <row r="178" spans="4:8">
      <c r="D178" s="1"/>
      <c r="F178" s="1"/>
      <c r="G178" s="1"/>
      <c r="H178" s="1"/>
    </row>
    <row r="179" spans="4:8">
      <c r="D179" s="1"/>
      <c r="E179" s="1"/>
      <c r="F179" s="1"/>
      <c r="G179" s="1"/>
      <c r="H179" s="1"/>
    </row>
    <row r="180" spans="4:8">
      <c r="D180" s="1"/>
      <c r="E180" s="1"/>
      <c r="F180" s="1"/>
      <c r="G180" s="1"/>
      <c r="H180" s="1"/>
    </row>
    <row r="181" spans="4:8">
      <c r="D181" s="1"/>
      <c r="E181" s="1"/>
      <c r="F181" s="1"/>
      <c r="G181" s="1"/>
      <c r="H181" s="1"/>
    </row>
    <row r="182" spans="4:8">
      <c r="D182" s="1"/>
      <c r="E182" s="1"/>
      <c r="F182" s="1"/>
      <c r="G182" s="1"/>
      <c r="H182" s="1"/>
    </row>
    <row r="183" spans="4:8">
      <c r="D183" s="1"/>
      <c r="E183" s="1"/>
      <c r="F183" s="1"/>
      <c r="G183" s="1"/>
      <c r="H183" s="1"/>
    </row>
    <row r="184" spans="4:8">
      <c r="D184" s="1"/>
      <c r="E184" s="1"/>
      <c r="F184" s="1"/>
      <c r="G184" s="1"/>
      <c r="H184" s="1"/>
    </row>
    <row r="185" spans="4:8">
      <c r="D185" s="1"/>
      <c r="E185" s="1"/>
      <c r="F185" s="1"/>
      <c r="G185" s="1"/>
      <c r="H185" s="1"/>
    </row>
    <row r="186" spans="4:8">
      <c r="E186" s="1"/>
      <c r="F186" s="1"/>
      <c r="G186" s="1"/>
      <c r="H186" s="1"/>
    </row>
    <row r="187" spans="4:8">
      <c r="D187" s="1"/>
      <c r="E187" s="1"/>
      <c r="F187" s="1"/>
      <c r="G187" s="1"/>
      <c r="H187" s="1"/>
    </row>
    <row r="188" spans="4:8">
      <c r="D188" s="1"/>
      <c r="E188" s="1"/>
      <c r="H188" s="1"/>
    </row>
    <row r="189" spans="4:8">
      <c r="D189" s="1"/>
      <c r="E189" s="1"/>
      <c r="F189" s="1"/>
      <c r="G189" s="1"/>
      <c r="H189" s="1"/>
    </row>
    <row r="190" spans="4:8">
      <c r="D190" s="1"/>
      <c r="E190" s="1"/>
      <c r="F190" s="1"/>
      <c r="G190" s="1"/>
      <c r="H190" s="1"/>
    </row>
    <row r="191" spans="4:8">
      <c r="D191" s="1"/>
      <c r="E191" s="1"/>
      <c r="F191" s="1"/>
      <c r="G191" s="1"/>
    </row>
    <row r="192" spans="4:8">
      <c r="D192" s="1"/>
      <c r="F192" s="1"/>
      <c r="G192" s="1"/>
      <c r="H192" s="1"/>
    </row>
    <row r="193" spans="4:8">
      <c r="D193" s="1"/>
      <c r="E193" s="1"/>
      <c r="F193" s="1"/>
      <c r="G193" s="1"/>
      <c r="H193" s="1"/>
    </row>
    <row r="194" spans="4:8">
      <c r="D194" s="1"/>
      <c r="F194" s="1"/>
      <c r="G194" s="1"/>
      <c r="H194" s="1"/>
    </row>
    <row r="195" spans="4:8">
      <c r="D195" s="1"/>
      <c r="E195" s="1"/>
      <c r="F195" s="1"/>
      <c r="G195" s="1"/>
    </row>
    <row r="196" spans="4:8">
      <c r="D196" s="1"/>
      <c r="E196" s="1"/>
      <c r="F196" s="1"/>
      <c r="G196" s="1"/>
    </row>
    <row r="197" spans="4:8">
      <c r="D197" s="1"/>
      <c r="E197" s="1"/>
      <c r="F197" s="1"/>
      <c r="G197" s="1"/>
      <c r="H197" s="1"/>
    </row>
    <row r="198" spans="4:8">
      <c r="D198" s="1"/>
      <c r="E198" s="1"/>
      <c r="F198" s="1"/>
      <c r="G198" s="1"/>
      <c r="H198" s="1"/>
    </row>
    <row r="199" spans="4:8">
      <c r="D199" s="1"/>
      <c r="E199" s="1"/>
      <c r="F199" s="1"/>
      <c r="G199" s="1"/>
      <c r="H199" s="1"/>
    </row>
    <row r="200" spans="4:8">
      <c r="D200" s="1"/>
      <c r="E200" s="1"/>
      <c r="F200" s="1"/>
      <c r="G200" s="1"/>
      <c r="H200" s="1"/>
    </row>
    <row r="201" spans="4:8">
      <c r="D201" s="1"/>
      <c r="E201" s="1"/>
      <c r="F201" s="1"/>
      <c r="G201" s="1"/>
      <c r="H201" s="1"/>
    </row>
    <row r="202" spans="4:8">
      <c r="D202" s="1"/>
      <c r="H202" s="1"/>
    </row>
    <row r="203" spans="4:8">
      <c r="D203" s="1"/>
      <c r="E203" s="1"/>
      <c r="F203" s="1"/>
      <c r="G203" s="1"/>
      <c r="H203" s="1"/>
    </row>
    <row r="204" spans="4:8">
      <c r="D204" s="1"/>
      <c r="E204" s="1"/>
      <c r="F204" s="1"/>
      <c r="G204" s="1"/>
      <c r="H204" s="1"/>
    </row>
    <row r="205" spans="4:8">
      <c r="D205" s="1"/>
      <c r="E205" s="1"/>
      <c r="F205" s="1"/>
      <c r="G205" s="1"/>
      <c r="H205" s="1"/>
    </row>
    <row r="206" spans="4:8">
      <c r="D206" s="1"/>
      <c r="E206" s="1"/>
      <c r="F206" s="1"/>
      <c r="G206" s="1"/>
      <c r="H206" s="1"/>
    </row>
    <row r="207" spans="4:8">
      <c r="D207" s="1"/>
      <c r="E207" s="1"/>
      <c r="F207" s="1"/>
      <c r="G207" s="1"/>
      <c r="H207" s="1"/>
    </row>
    <row r="208" spans="4:8">
      <c r="D208" s="1"/>
      <c r="E208" s="1"/>
      <c r="F208" s="1"/>
      <c r="G208" s="1"/>
      <c r="H208" s="1"/>
    </row>
    <row r="209" spans="4:8">
      <c r="D209" s="1"/>
      <c r="E209" s="1"/>
      <c r="F209" s="1"/>
      <c r="G209" s="1"/>
      <c r="H209" s="1"/>
    </row>
    <row r="210" spans="4:8">
      <c r="D210" s="1"/>
      <c r="E210" s="1"/>
      <c r="H210" s="1"/>
    </row>
    <row r="211" spans="4:8">
      <c r="D211" s="1"/>
      <c r="E211" s="1"/>
    </row>
    <row r="212" spans="4:8">
      <c r="D212" s="1"/>
      <c r="E212" s="1"/>
      <c r="F212" s="1"/>
      <c r="G212" s="1"/>
      <c r="H212" s="1"/>
    </row>
    <row r="213" spans="4:8">
      <c r="D213" s="1"/>
      <c r="E213" s="1"/>
      <c r="F213" s="1"/>
      <c r="G213" s="1"/>
      <c r="H213" s="1"/>
    </row>
    <row r="214" spans="4:8">
      <c r="D214" s="1"/>
      <c r="E214" s="1"/>
      <c r="F214" s="1"/>
      <c r="G214" s="1"/>
      <c r="H214" s="1"/>
    </row>
    <row r="215" spans="4:8">
      <c r="D215" s="1"/>
      <c r="E215" s="1"/>
      <c r="F215" s="1"/>
      <c r="G215" s="1"/>
      <c r="H215" s="1"/>
    </row>
    <row r="216" spans="4:8">
      <c r="D216" s="1"/>
      <c r="E216" s="1"/>
      <c r="F216" s="1"/>
      <c r="G216" s="1"/>
      <c r="H216" s="1"/>
    </row>
    <row r="217" spans="4:8">
      <c r="D217" s="1"/>
      <c r="E217" s="1"/>
      <c r="F217" s="1"/>
      <c r="G217" s="1"/>
      <c r="H217" s="1"/>
    </row>
    <row r="218" spans="4:8">
      <c r="D218" s="1"/>
      <c r="E218" s="1"/>
      <c r="F218" s="1"/>
      <c r="G218" s="1"/>
      <c r="H218" s="1"/>
    </row>
    <row r="219" spans="4:8">
      <c r="D219" s="1"/>
      <c r="E219" s="1"/>
      <c r="F219" s="1"/>
      <c r="G219" s="1"/>
      <c r="H219" s="1"/>
    </row>
    <row r="220" spans="4:8">
      <c r="H220" s="1"/>
    </row>
    <row r="221" spans="4:8">
      <c r="H221" s="1"/>
    </row>
  </sheetData>
  <dataConsolidate/>
  <pageMargins left="0.75" right="0.75" top="1" bottom="1" header="0.5" footer="0.5"/>
  <pageSetup paperSize="9" orientation="portrait" horizontalDpi="4294967292" verticalDpi="4294967292"/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09"/>
  <sheetViews>
    <sheetView workbookViewId="0">
      <selection activeCell="J119" sqref="J119"/>
    </sheetView>
  </sheetViews>
  <sheetFormatPr baseColWidth="10" defaultRowHeight="15" x14ac:dyDescent="0"/>
  <sheetData>
    <row r="1" spans="1:44">
      <c r="B1" t="s">
        <v>16</v>
      </c>
      <c r="I1" t="s">
        <v>17</v>
      </c>
      <c r="P1" t="s">
        <v>18</v>
      </c>
      <c r="W1" t="s">
        <v>19</v>
      </c>
      <c r="AD1" t="s">
        <v>20</v>
      </c>
      <c r="AK1" t="s">
        <v>21</v>
      </c>
    </row>
    <row r="2" spans="1:44">
      <c r="A2" t="s">
        <v>24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I2" t="s">
        <v>0</v>
      </c>
      <c r="J2" t="s">
        <v>1</v>
      </c>
      <c r="K2" t="s">
        <v>2</v>
      </c>
      <c r="L2" t="s">
        <v>3</v>
      </c>
      <c r="M2" t="s">
        <v>4</v>
      </c>
      <c r="P2" t="s">
        <v>0</v>
      </c>
      <c r="Q2" t="s">
        <v>1</v>
      </c>
      <c r="R2" t="s">
        <v>2</v>
      </c>
      <c r="S2" t="s">
        <v>3</v>
      </c>
      <c r="T2" t="s">
        <v>4</v>
      </c>
      <c r="W2" t="s">
        <v>0</v>
      </c>
      <c r="X2" t="s">
        <v>1</v>
      </c>
      <c r="Y2" t="s">
        <v>2</v>
      </c>
      <c r="Z2" t="s">
        <v>3</v>
      </c>
      <c r="AA2" t="s">
        <v>4</v>
      </c>
      <c r="AD2" t="s">
        <v>0</v>
      </c>
      <c r="AE2" t="s">
        <v>1</v>
      </c>
      <c r="AF2" t="s">
        <v>2</v>
      </c>
      <c r="AG2" t="s">
        <v>3</v>
      </c>
      <c r="AH2" t="s">
        <v>4</v>
      </c>
      <c r="AK2" t="s">
        <v>0</v>
      </c>
      <c r="AL2" t="s">
        <v>1</v>
      </c>
      <c r="AM2" t="s">
        <v>2</v>
      </c>
      <c r="AN2" t="s">
        <v>3</v>
      </c>
      <c r="AO2" t="s">
        <v>4</v>
      </c>
      <c r="AP2" t="s">
        <v>22</v>
      </c>
      <c r="AQ2" t="s">
        <v>5</v>
      </c>
      <c r="AR2" t="s">
        <v>6</v>
      </c>
    </row>
    <row r="3" spans="1:44">
      <c r="A3">
        <v>1</v>
      </c>
      <c r="B3">
        <v>10.746</v>
      </c>
      <c r="C3" s="1">
        <v>7.4999999999999993E-5</v>
      </c>
      <c r="D3" s="1">
        <v>6.4999999999999994E-5</v>
      </c>
      <c r="E3" s="1">
        <v>6.7999999999999999E-5</v>
      </c>
      <c r="F3" s="1">
        <v>6.3E-5</v>
      </c>
      <c r="I3">
        <v>9.2999999999999999E-2</v>
      </c>
      <c r="J3" s="1">
        <v>6.4999999999999994E-5</v>
      </c>
      <c r="K3" s="1">
        <v>6.0999999999999999E-5</v>
      </c>
      <c r="L3" s="1">
        <v>6.0000000000000002E-5</v>
      </c>
      <c r="M3" s="1">
        <v>6.0000000000000002E-5</v>
      </c>
      <c r="P3">
        <v>9.5000000000000001E-2</v>
      </c>
      <c r="Q3" s="1">
        <v>6.3999999999999997E-5</v>
      </c>
      <c r="R3" s="1">
        <v>6.6000000000000005E-5</v>
      </c>
      <c r="S3" s="1">
        <v>5.7000000000000003E-5</v>
      </c>
      <c r="T3" s="1">
        <v>5.8E-5</v>
      </c>
      <c r="U3" s="1"/>
      <c r="W3">
        <v>0.13500000000000001</v>
      </c>
      <c r="X3">
        <v>5.6000000000000001E-2</v>
      </c>
      <c r="Y3">
        <v>6.6000000000000003E-2</v>
      </c>
      <c r="Z3">
        <v>6.3E-2</v>
      </c>
      <c r="AA3">
        <v>6.0999999999999999E-2</v>
      </c>
      <c r="AD3">
        <v>0.14899999999999999</v>
      </c>
      <c r="AE3">
        <v>5.5E-2</v>
      </c>
      <c r="AF3">
        <v>6.6000000000000003E-2</v>
      </c>
      <c r="AG3">
        <v>6.0999999999999999E-2</v>
      </c>
      <c r="AH3">
        <v>6.0999999999999999E-2</v>
      </c>
      <c r="AK3">
        <v>0.155</v>
      </c>
      <c r="AL3">
        <v>5.5E-2</v>
      </c>
      <c r="AM3">
        <v>6.8000000000000005E-2</v>
      </c>
      <c r="AN3">
        <v>6.4000000000000001E-2</v>
      </c>
      <c r="AO3">
        <v>6.2E-2</v>
      </c>
    </row>
    <row r="4" spans="1:44">
      <c r="A4">
        <v>2</v>
      </c>
      <c r="B4">
        <v>6.3E-2</v>
      </c>
      <c r="C4" s="1">
        <v>5.5999999999999999E-5</v>
      </c>
      <c r="D4" s="1">
        <v>9.2E-5</v>
      </c>
      <c r="E4" s="1">
        <v>5.3999999999999998E-5</v>
      </c>
      <c r="F4" s="1">
        <v>5.8999999999999998E-5</v>
      </c>
      <c r="I4">
        <v>5.8000000000000003E-2</v>
      </c>
      <c r="J4" s="1">
        <v>5.5999999999999999E-5</v>
      </c>
      <c r="K4" s="1">
        <v>6.0000000000000002E-5</v>
      </c>
      <c r="L4" s="1">
        <v>5.5000000000000002E-5</v>
      </c>
      <c r="M4" s="1">
        <v>5.3999999999999998E-5</v>
      </c>
      <c r="P4">
        <v>5.6000000000000001E-2</v>
      </c>
      <c r="Q4">
        <v>4.4039999999999999E-3</v>
      </c>
      <c r="R4">
        <v>1.34E-4</v>
      </c>
      <c r="S4" s="1">
        <v>8.1000000000000004E-5</v>
      </c>
      <c r="T4" s="1">
        <v>5.3999999999999998E-5</v>
      </c>
      <c r="U4" s="1"/>
      <c r="W4">
        <v>5.5E-2</v>
      </c>
      <c r="X4">
        <v>4.8000000000000001E-2</v>
      </c>
      <c r="Y4">
        <v>0.05</v>
      </c>
      <c r="Z4">
        <v>5.3999999999999999E-2</v>
      </c>
      <c r="AA4">
        <v>0.05</v>
      </c>
      <c r="AD4">
        <v>5.6000000000000001E-2</v>
      </c>
      <c r="AE4">
        <v>4.8000000000000001E-2</v>
      </c>
      <c r="AF4">
        <v>4.9000000000000002E-2</v>
      </c>
      <c r="AG4">
        <v>5.2999999999999999E-2</v>
      </c>
      <c r="AH4">
        <v>0.05</v>
      </c>
      <c r="AK4">
        <v>5.0999999999999997E-2</v>
      </c>
      <c r="AL4">
        <v>5.3999999999999999E-2</v>
      </c>
      <c r="AM4">
        <v>5.7000000000000002E-2</v>
      </c>
      <c r="AN4">
        <v>5.8000000000000003E-2</v>
      </c>
      <c r="AO4">
        <v>5.3999999999999999E-2</v>
      </c>
    </row>
    <row r="5" spans="1:44">
      <c r="A5">
        <v>3</v>
      </c>
      <c r="B5">
        <v>5.7000000000000002E-2</v>
      </c>
      <c r="C5" s="1">
        <v>5.8E-5</v>
      </c>
      <c r="D5" s="1">
        <v>8.5000000000000006E-5</v>
      </c>
      <c r="E5" s="1">
        <v>5.8999999999999998E-5</v>
      </c>
      <c r="F5" s="1">
        <v>5.5999999999999999E-5</v>
      </c>
      <c r="I5">
        <v>5.7000000000000002E-2</v>
      </c>
      <c r="J5" s="1">
        <v>5.8E-5</v>
      </c>
      <c r="K5" s="1">
        <v>5.3999999999999998E-5</v>
      </c>
      <c r="L5" s="1">
        <v>5.5000000000000002E-5</v>
      </c>
      <c r="M5" s="1">
        <v>5.5000000000000002E-5</v>
      </c>
      <c r="P5">
        <v>8.5000000000000006E-2</v>
      </c>
      <c r="Q5" s="1">
        <v>6.0000000000000002E-5</v>
      </c>
      <c r="R5" s="1">
        <v>5.5999999999999999E-5</v>
      </c>
      <c r="S5" s="1">
        <v>5.5000000000000002E-5</v>
      </c>
      <c r="T5" s="1">
        <v>5.5000000000000002E-5</v>
      </c>
      <c r="U5" s="1"/>
      <c r="W5">
        <v>5.0999999999999997E-2</v>
      </c>
      <c r="X5">
        <v>5.3999999999999999E-2</v>
      </c>
      <c r="Y5">
        <v>5.8000000000000003E-2</v>
      </c>
      <c r="Z5">
        <v>5.5E-2</v>
      </c>
      <c r="AA5">
        <v>5.5E-2</v>
      </c>
      <c r="AD5">
        <v>0.05</v>
      </c>
      <c r="AE5">
        <v>4.9000000000000002E-2</v>
      </c>
      <c r="AF5">
        <v>0.05</v>
      </c>
      <c r="AG5">
        <v>4.9000000000000002E-2</v>
      </c>
      <c r="AH5">
        <v>0.05</v>
      </c>
      <c r="AK5">
        <v>6.7000000000000004E-2</v>
      </c>
      <c r="AL5">
        <v>5.3999999999999999E-2</v>
      </c>
      <c r="AM5">
        <v>0.19600000000000001</v>
      </c>
      <c r="AN5">
        <v>5.8999999999999997E-2</v>
      </c>
      <c r="AO5">
        <v>6.5000000000000002E-2</v>
      </c>
    </row>
    <row r="6" spans="1:44" hidden="1">
      <c r="A6">
        <v>4</v>
      </c>
      <c r="B6">
        <v>5.8000000000000003E-2</v>
      </c>
      <c r="C6" s="1">
        <v>5.8999999999999998E-5</v>
      </c>
      <c r="D6">
        <v>1.5300000000000001E-4</v>
      </c>
      <c r="E6" s="1">
        <v>5.5000000000000002E-5</v>
      </c>
      <c r="F6" s="1">
        <v>5.5000000000000002E-5</v>
      </c>
      <c r="I6">
        <v>5.7000000000000002E-2</v>
      </c>
      <c r="J6" s="1">
        <v>5.8999999999999998E-5</v>
      </c>
      <c r="K6" s="1">
        <v>5.5000000000000002E-5</v>
      </c>
      <c r="L6" s="1">
        <v>5.5000000000000002E-5</v>
      </c>
      <c r="M6" s="1">
        <v>5.3999999999999998E-5</v>
      </c>
      <c r="P6">
        <v>5.7000000000000002E-2</v>
      </c>
      <c r="Q6">
        <v>1.8200000000000001E-4</v>
      </c>
      <c r="R6" s="1">
        <v>8.2000000000000001E-5</v>
      </c>
      <c r="S6" s="1">
        <v>6.0999999999999999E-5</v>
      </c>
      <c r="T6" s="1">
        <v>5.3999999999999998E-5</v>
      </c>
      <c r="U6" s="1"/>
      <c r="W6">
        <v>5.6000000000000001E-2</v>
      </c>
      <c r="X6">
        <v>5.8000000000000003E-2</v>
      </c>
      <c r="Y6">
        <v>5.6000000000000001E-2</v>
      </c>
      <c r="Z6">
        <v>5.3999999999999999E-2</v>
      </c>
      <c r="AA6">
        <v>5.5E-2</v>
      </c>
      <c r="AD6">
        <v>5.0999999999999997E-2</v>
      </c>
      <c r="AE6">
        <v>5.6000000000000001E-2</v>
      </c>
      <c r="AF6">
        <v>5.0999999999999997E-2</v>
      </c>
      <c r="AG6">
        <v>4.9000000000000002E-2</v>
      </c>
      <c r="AH6">
        <v>0.05</v>
      </c>
      <c r="AK6">
        <v>0.123</v>
      </c>
      <c r="AL6">
        <v>5.1999999999999998E-2</v>
      </c>
      <c r="AM6">
        <v>5.7000000000000002E-2</v>
      </c>
      <c r="AN6">
        <v>5.1999999999999998E-2</v>
      </c>
      <c r="AO6">
        <v>5.5E-2</v>
      </c>
    </row>
    <row r="7" spans="1:44" hidden="1">
      <c r="A7">
        <v>5</v>
      </c>
      <c r="B7">
        <v>5.8000000000000003E-2</v>
      </c>
      <c r="C7" s="1">
        <v>5.7000000000000003E-5</v>
      </c>
      <c r="D7" s="1">
        <v>5.5000000000000002E-5</v>
      </c>
      <c r="E7" s="1">
        <v>5.5999999999999999E-5</v>
      </c>
      <c r="F7" s="1">
        <v>5.3999999999999998E-5</v>
      </c>
      <c r="I7">
        <v>5.6000000000000001E-2</v>
      </c>
      <c r="J7" s="1">
        <v>5.7000000000000003E-5</v>
      </c>
      <c r="K7" s="1">
        <v>5.3999999999999998E-5</v>
      </c>
      <c r="L7" s="1">
        <v>5.5000000000000002E-5</v>
      </c>
      <c r="M7" s="1">
        <v>5.3999999999999998E-5</v>
      </c>
      <c r="P7">
        <v>6.4000000000000001E-2</v>
      </c>
      <c r="Q7" s="1">
        <v>6.2000000000000003E-5</v>
      </c>
      <c r="R7" s="1">
        <v>5.5999999999999999E-5</v>
      </c>
      <c r="S7" s="1">
        <v>5.8999999999999998E-5</v>
      </c>
      <c r="T7" s="1">
        <v>5.8999999999999998E-5</v>
      </c>
      <c r="U7" s="1"/>
      <c r="W7">
        <v>0.05</v>
      </c>
      <c r="X7">
        <v>0.109</v>
      </c>
      <c r="Y7">
        <v>9.4E-2</v>
      </c>
      <c r="Z7">
        <v>5.8000000000000003E-2</v>
      </c>
      <c r="AA7">
        <v>5.7000000000000002E-2</v>
      </c>
      <c r="AD7">
        <v>5.0999999999999997E-2</v>
      </c>
      <c r="AE7">
        <v>4.9000000000000002E-2</v>
      </c>
      <c r="AF7">
        <v>4.9000000000000002E-2</v>
      </c>
      <c r="AG7">
        <v>5.0999999999999997E-2</v>
      </c>
      <c r="AH7">
        <v>5.0999999999999997E-2</v>
      </c>
      <c r="AK7">
        <v>5.6000000000000001E-2</v>
      </c>
      <c r="AL7">
        <v>0.05</v>
      </c>
      <c r="AM7">
        <v>5.6000000000000001E-2</v>
      </c>
      <c r="AN7">
        <v>5.3999999999999999E-2</v>
      </c>
      <c r="AO7">
        <v>5.8000000000000003E-2</v>
      </c>
    </row>
    <row r="8" spans="1:44" hidden="1">
      <c r="A8">
        <v>6</v>
      </c>
      <c r="B8">
        <v>5.8000000000000003E-2</v>
      </c>
      <c r="C8">
        <v>1.4100000000000001E-4</v>
      </c>
      <c r="D8" s="1">
        <v>6.2000000000000003E-5</v>
      </c>
      <c r="E8" s="1">
        <v>6.0999999999999999E-5</v>
      </c>
      <c r="F8" s="1">
        <v>5.8999999999999998E-5</v>
      </c>
      <c r="I8">
        <v>5.8000000000000003E-2</v>
      </c>
      <c r="J8" s="1">
        <v>5.7000000000000003E-5</v>
      </c>
      <c r="K8" s="1">
        <v>5.5000000000000002E-5</v>
      </c>
      <c r="L8" s="1">
        <v>5.3999999999999998E-5</v>
      </c>
      <c r="M8" s="1">
        <v>5.3999999999999998E-5</v>
      </c>
      <c r="P8">
        <v>5.8999999999999997E-2</v>
      </c>
      <c r="Q8">
        <v>1.66E-4</v>
      </c>
      <c r="R8" s="1">
        <v>5.8E-5</v>
      </c>
      <c r="S8" s="1">
        <v>5.5999999999999999E-5</v>
      </c>
      <c r="T8" s="1">
        <v>5.3999999999999998E-5</v>
      </c>
      <c r="U8" s="1"/>
      <c r="W8">
        <v>5.7000000000000002E-2</v>
      </c>
      <c r="X8">
        <v>5.5E-2</v>
      </c>
      <c r="Y8">
        <v>5.6000000000000001E-2</v>
      </c>
      <c r="Z8">
        <v>5.6000000000000001E-2</v>
      </c>
      <c r="AA8">
        <v>5.6000000000000001E-2</v>
      </c>
      <c r="AD8">
        <v>5.1999999999999998E-2</v>
      </c>
      <c r="AE8">
        <v>5.0999999999999997E-2</v>
      </c>
      <c r="AF8">
        <v>4.9000000000000002E-2</v>
      </c>
      <c r="AG8">
        <v>4.9000000000000002E-2</v>
      </c>
      <c r="AH8">
        <v>5.5E-2</v>
      </c>
      <c r="AK8">
        <v>5.7000000000000002E-2</v>
      </c>
      <c r="AL8">
        <v>0.13700000000000001</v>
      </c>
      <c r="AM8">
        <v>5.0999999999999997E-2</v>
      </c>
      <c r="AN8">
        <v>0.05</v>
      </c>
      <c r="AO8">
        <v>5.0999999999999997E-2</v>
      </c>
    </row>
    <row r="9" spans="1:44" hidden="1">
      <c r="A9">
        <v>7</v>
      </c>
      <c r="B9">
        <v>6.4000000000000001E-2</v>
      </c>
      <c r="C9" s="1">
        <v>6.3E-5</v>
      </c>
      <c r="D9" s="1">
        <v>6.0000000000000002E-5</v>
      </c>
      <c r="E9">
        <v>1.4799999999999999E-4</v>
      </c>
      <c r="F9">
        <v>2.2800000000000001E-4</v>
      </c>
      <c r="I9">
        <v>5.6000000000000001E-2</v>
      </c>
      <c r="J9" s="1">
        <v>5.5999999999999999E-5</v>
      </c>
      <c r="K9" s="1">
        <v>8.1000000000000004E-5</v>
      </c>
      <c r="L9" s="1">
        <v>5.5999999999999999E-5</v>
      </c>
      <c r="M9">
        <v>1.8599999999999999E-4</v>
      </c>
      <c r="P9">
        <v>5.8999999999999997E-2</v>
      </c>
      <c r="Q9" s="1">
        <v>5.7000000000000003E-5</v>
      </c>
      <c r="R9" s="1">
        <v>5.5000000000000002E-5</v>
      </c>
      <c r="S9">
        <v>1.5799999999999999E-4</v>
      </c>
      <c r="T9" s="1">
        <v>5.5000000000000002E-5</v>
      </c>
      <c r="U9" s="1"/>
      <c r="W9">
        <v>5.6000000000000001E-2</v>
      </c>
      <c r="X9">
        <v>5.5E-2</v>
      </c>
      <c r="Y9">
        <v>5.5E-2</v>
      </c>
      <c r="Z9">
        <v>5.7000000000000002E-2</v>
      </c>
      <c r="AA9">
        <v>5.5E-2</v>
      </c>
      <c r="AD9">
        <v>5.6000000000000001E-2</v>
      </c>
      <c r="AE9">
        <v>5.5E-2</v>
      </c>
      <c r="AF9">
        <v>5.5E-2</v>
      </c>
      <c r="AG9">
        <v>5.3999999999999999E-2</v>
      </c>
      <c r="AH9">
        <v>5.3999999999999999E-2</v>
      </c>
      <c r="AK9">
        <v>5.0999999999999997E-2</v>
      </c>
      <c r="AL9">
        <v>4.9000000000000002E-2</v>
      </c>
      <c r="AM9">
        <v>5.5E-2</v>
      </c>
      <c r="AN9">
        <v>5.0999999999999997E-2</v>
      </c>
      <c r="AO9">
        <v>5.0999999999999997E-2</v>
      </c>
    </row>
    <row r="10" spans="1:44" hidden="1">
      <c r="A10">
        <v>8</v>
      </c>
      <c r="B10">
        <v>6.2E-2</v>
      </c>
      <c r="C10" s="1">
        <v>5.8E-5</v>
      </c>
      <c r="D10" s="1">
        <v>7.2999999999999999E-5</v>
      </c>
      <c r="E10" s="1">
        <v>5.5999999999999999E-5</v>
      </c>
      <c r="F10" s="1">
        <v>5.5000000000000002E-5</v>
      </c>
      <c r="I10">
        <v>0.38500000000000001</v>
      </c>
      <c r="J10" s="1">
        <v>6.4999999999999994E-5</v>
      </c>
      <c r="K10" s="1">
        <v>6.0999999999999999E-5</v>
      </c>
      <c r="L10" s="1">
        <v>6.0999999999999999E-5</v>
      </c>
      <c r="M10" s="1">
        <v>5.8999999999999998E-5</v>
      </c>
      <c r="P10">
        <v>5.8000000000000003E-2</v>
      </c>
      <c r="Q10" s="1">
        <v>5.8999999999999998E-5</v>
      </c>
      <c r="R10" s="1">
        <v>5.5000000000000002E-5</v>
      </c>
      <c r="S10" s="1">
        <v>5.5000000000000002E-5</v>
      </c>
      <c r="T10" s="1">
        <v>6.2000000000000003E-5</v>
      </c>
      <c r="U10" s="1"/>
      <c r="W10">
        <v>5.5E-2</v>
      </c>
      <c r="X10">
        <v>4.9000000000000002E-2</v>
      </c>
      <c r="Y10">
        <v>0.19</v>
      </c>
      <c r="Z10">
        <v>5.5E-2</v>
      </c>
      <c r="AA10">
        <v>8.3000000000000004E-2</v>
      </c>
      <c r="AD10">
        <v>5.6000000000000001E-2</v>
      </c>
      <c r="AE10">
        <v>5.2999999999999999E-2</v>
      </c>
      <c r="AF10">
        <v>0.08</v>
      </c>
      <c r="AG10">
        <v>0.05</v>
      </c>
      <c r="AH10">
        <v>0.05</v>
      </c>
      <c r="AK10">
        <v>7.4630000000000001</v>
      </c>
      <c r="AL10">
        <v>0.68700000000000006</v>
      </c>
      <c r="AM10">
        <v>6.6920000000000002</v>
      </c>
      <c r="AN10">
        <v>9.7000000000000003E-2</v>
      </c>
      <c r="AO10">
        <v>0.104</v>
      </c>
    </row>
    <row r="11" spans="1:44" hidden="1">
      <c r="A11">
        <v>9</v>
      </c>
      <c r="B11">
        <v>5.8000000000000003E-2</v>
      </c>
      <c r="C11" s="1">
        <v>5.7000000000000003E-5</v>
      </c>
      <c r="D11" s="1">
        <v>5.5999999999999999E-5</v>
      </c>
      <c r="E11" s="1">
        <v>5.3999999999999998E-5</v>
      </c>
      <c r="F11" s="1">
        <v>5.3999999999999998E-5</v>
      </c>
      <c r="I11">
        <v>6.2E-2</v>
      </c>
      <c r="J11" s="1">
        <v>6.4999999999999994E-5</v>
      </c>
      <c r="K11">
        <v>1.4829999999999999E-3</v>
      </c>
      <c r="L11" s="1">
        <v>5.7000000000000003E-5</v>
      </c>
      <c r="M11" s="1">
        <v>5.5999999999999999E-5</v>
      </c>
      <c r="P11">
        <v>0.06</v>
      </c>
      <c r="Q11" s="1">
        <v>6.3E-5</v>
      </c>
      <c r="R11">
        <v>1.2899999999999999E-4</v>
      </c>
      <c r="S11" s="1">
        <v>6.0000000000000002E-5</v>
      </c>
      <c r="T11" s="1">
        <v>6.0000000000000002E-5</v>
      </c>
      <c r="U11" s="1"/>
      <c r="W11">
        <v>5.7000000000000002E-2</v>
      </c>
      <c r="X11">
        <v>5.3999999999999999E-2</v>
      </c>
      <c r="Y11">
        <v>5.0999999999999997E-2</v>
      </c>
      <c r="Z11">
        <v>5.0999999999999997E-2</v>
      </c>
      <c r="AA11">
        <v>8.8089999999999993</v>
      </c>
      <c r="AD11">
        <v>8.3770000000000007</v>
      </c>
      <c r="AE11">
        <v>0.41299999999999998</v>
      </c>
      <c r="AF11">
        <v>5.6000000000000001E-2</v>
      </c>
      <c r="AG11">
        <v>5.6000000000000001E-2</v>
      </c>
      <c r="AH11">
        <v>5.3999999999999999E-2</v>
      </c>
      <c r="AK11">
        <v>0.105</v>
      </c>
      <c r="AL11">
        <v>9.2999999999999999E-2</v>
      </c>
      <c r="AM11">
        <v>9.5000000000000001E-2</v>
      </c>
      <c r="AN11">
        <v>0.10100000000000001</v>
      </c>
      <c r="AO11">
        <v>9.5000000000000001E-2</v>
      </c>
    </row>
    <row r="12" spans="1:44" hidden="1">
      <c r="A12">
        <v>10</v>
      </c>
      <c r="B12">
        <v>5.8000000000000003E-2</v>
      </c>
      <c r="C12">
        <v>6.0800000000000003E-4</v>
      </c>
      <c r="D12" s="1">
        <v>6.0999999999999999E-5</v>
      </c>
      <c r="E12" s="1">
        <v>5.7000000000000003E-5</v>
      </c>
      <c r="F12" s="1">
        <v>5.5000000000000002E-5</v>
      </c>
      <c r="I12">
        <v>5.7000000000000002E-2</v>
      </c>
      <c r="J12" s="1">
        <v>5.5999999999999999E-5</v>
      </c>
      <c r="K12" s="1">
        <v>5.3999999999999998E-5</v>
      </c>
      <c r="L12" s="1">
        <v>5.5999999999999999E-5</v>
      </c>
      <c r="M12" s="1">
        <v>5.3000000000000001E-5</v>
      </c>
      <c r="P12">
        <v>6.2E-2</v>
      </c>
      <c r="Q12" s="1">
        <v>6.3E-5</v>
      </c>
      <c r="R12" s="1">
        <v>6.0000000000000002E-5</v>
      </c>
      <c r="S12" s="1">
        <v>5.5000000000000002E-5</v>
      </c>
      <c r="T12" s="1">
        <v>5.3999999999999998E-5</v>
      </c>
      <c r="U12" s="1"/>
      <c r="W12">
        <v>0.39</v>
      </c>
      <c r="X12">
        <v>5.1999999999999998E-2</v>
      </c>
      <c r="Y12">
        <v>0.1</v>
      </c>
      <c r="Z12">
        <v>5.2999999999999999E-2</v>
      </c>
      <c r="AA12">
        <v>0.05</v>
      </c>
      <c r="AD12">
        <v>0.05</v>
      </c>
      <c r="AE12">
        <v>0.17100000000000001</v>
      </c>
      <c r="AF12">
        <v>0.08</v>
      </c>
      <c r="AG12">
        <v>5.7000000000000002E-2</v>
      </c>
      <c r="AH12">
        <v>0.05</v>
      </c>
      <c r="AK12">
        <v>9.4E-2</v>
      </c>
      <c r="AL12">
        <v>8.1000000000000003E-2</v>
      </c>
      <c r="AM12">
        <v>8.2000000000000003E-2</v>
      </c>
      <c r="AN12">
        <v>8.1000000000000003E-2</v>
      </c>
      <c r="AO12">
        <v>8.3000000000000004E-2</v>
      </c>
    </row>
    <row r="13" spans="1:44" hidden="1">
      <c r="A13">
        <v>11</v>
      </c>
      <c r="B13">
        <v>5.8000000000000003E-2</v>
      </c>
      <c r="C13" s="1">
        <v>5.8E-5</v>
      </c>
      <c r="D13" s="1">
        <v>5.3999999999999998E-5</v>
      </c>
      <c r="E13" s="1">
        <v>5.5000000000000002E-5</v>
      </c>
      <c r="F13" s="1">
        <v>5.5000000000000002E-5</v>
      </c>
      <c r="I13">
        <v>5.5E-2</v>
      </c>
      <c r="J13" s="1">
        <v>5.7000000000000003E-5</v>
      </c>
      <c r="K13" s="1">
        <v>5.3999999999999998E-5</v>
      </c>
      <c r="L13" s="1">
        <v>5.3999999999999998E-5</v>
      </c>
      <c r="M13" s="1">
        <v>5.3999999999999998E-5</v>
      </c>
      <c r="P13">
        <v>5.8999999999999997E-2</v>
      </c>
      <c r="Q13">
        <v>9.3390000000000001E-3</v>
      </c>
      <c r="R13">
        <v>9.7499999999999996E-4</v>
      </c>
      <c r="S13" s="1">
        <v>8.8999999999999995E-5</v>
      </c>
      <c r="T13" s="1">
        <v>6.0999999999999999E-5</v>
      </c>
      <c r="U13" s="1"/>
      <c r="W13">
        <v>5.5E-2</v>
      </c>
      <c r="X13">
        <v>4.9000000000000002E-2</v>
      </c>
      <c r="Y13">
        <v>5.2999999999999999E-2</v>
      </c>
      <c r="Z13">
        <v>5.7000000000000002E-2</v>
      </c>
      <c r="AA13">
        <v>5.6000000000000001E-2</v>
      </c>
      <c r="AD13">
        <v>5.0999999999999997E-2</v>
      </c>
      <c r="AE13">
        <v>4.9000000000000002E-2</v>
      </c>
      <c r="AF13">
        <v>0.05</v>
      </c>
      <c r="AG13">
        <v>0.05</v>
      </c>
      <c r="AH13">
        <v>5.3999999999999999E-2</v>
      </c>
      <c r="AK13">
        <v>8.4000000000000005E-2</v>
      </c>
      <c r="AL13">
        <v>8.1000000000000003E-2</v>
      </c>
      <c r="AM13">
        <v>8.8999999999999996E-2</v>
      </c>
      <c r="AN13">
        <v>7.9000000000000001E-2</v>
      </c>
      <c r="AO13">
        <v>7.1999999999999995E-2</v>
      </c>
    </row>
    <row r="14" spans="1:44" hidden="1">
      <c r="A14">
        <v>12</v>
      </c>
      <c r="B14">
        <v>5.7000000000000002E-2</v>
      </c>
      <c r="C14" s="1">
        <v>5.7000000000000003E-5</v>
      </c>
      <c r="D14" s="1">
        <v>5.5999999999999999E-5</v>
      </c>
      <c r="E14" s="1">
        <v>5.5999999999999999E-5</v>
      </c>
      <c r="F14">
        <v>1.4899999999999999E-4</v>
      </c>
      <c r="I14">
        <v>5.8000000000000003E-2</v>
      </c>
      <c r="J14" s="1">
        <v>5.7000000000000003E-5</v>
      </c>
      <c r="K14" s="1">
        <v>5.5000000000000002E-5</v>
      </c>
      <c r="L14" s="1">
        <v>5.3999999999999998E-5</v>
      </c>
      <c r="M14" s="1">
        <v>5.5000000000000002E-5</v>
      </c>
      <c r="P14">
        <v>6.2E-2</v>
      </c>
      <c r="Q14" s="1">
        <v>6.3999999999999997E-5</v>
      </c>
      <c r="R14" s="1">
        <v>5.3999999999999998E-5</v>
      </c>
      <c r="S14" s="1">
        <v>5.5999999999999999E-5</v>
      </c>
      <c r="T14">
        <v>1.07E-4</v>
      </c>
      <c r="W14">
        <v>0.182</v>
      </c>
      <c r="X14">
        <v>5.7000000000000002E-2</v>
      </c>
      <c r="Y14">
        <v>5.5E-2</v>
      </c>
      <c r="Z14">
        <v>5.5E-2</v>
      </c>
      <c r="AA14">
        <v>6.0999999999999999E-2</v>
      </c>
      <c r="AD14">
        <v>5.0999999999999997E-2</v>
      </c>
      <c r="AE14">
        <v>0.16300000000000001</v>
      </c>
      <c r="AF14">
        <v>9.4E-2</v>
      </c>
      <c r="AG14">
        <v>5.2999999999999999E-2</v>
      </c>
      <c r="AH14">
        <v>5.1999999999999998E-2</v>
      </c>
      <c r="AK14">
        <v>7.6</v>
      </c>
      <c r="AL14">
        <v>0.14099999999999999</v>
      </c>
      <c r="AM14">
        <v>7.9000000000000001E-2</v>
      </c>
      <c r="AN14">
        <v>0.08</v>
      </c>
      <c r="AO14">
        <v>7.6999999999999999E-2</v>
      </c>
    </row>
    <row r="15" spans="1:44" hidden="1">
      <c r="A15">
        <v>13</v>
      </c>
      <c r="B15">
        <v>5.8000000000000003E-2</v>
      </c>
      <c r="C15" s="1">
        <v>5.8999999999999998E-5</v>
      </c>
      <c r="D15" s="1">
        <v>5.5000000000000002E-5</v>
      </c>
      <c r="E15" s="1">
        <v>5.5000000000000002E-5</v>
      </c>
      <c r="F15" s="1">
        <v>5.5000000000000002E-5</v>
      </c>
      <c r="I15">
        <v>9.6959999999999997</v>
      </c>
      <c r="J15">
        <v>3.6200000000000002E-4</v>
      </c>
      <c r="K15">
        <v>1.17E-4</v>
      </c>
      <c r="L15">
        <v>1.17E-4</v>
      </c>
      <c r="M15" s="1">
        <v>9.0000000000000006E-5</v>
      </c>
      <c r="P15">
        <v>7.9000000000000001E-2</v>
      </c>
      <c r="Q15" s="1">
        <v>5.8E-5</v>
      </c>
      <c r="R15" s="1">
        <v>5.5000000000000002E-5</v>
      </c>
      <c r="S15" s="1">
        <v>5.5000000000000002E-5</v>
      </c>
      <c r="T15" s="1">
        <v>5.5000000000000002E-5</v>
      </c>
      <c r="U15" s="1"/>
      <c r="W15">
        <v>7.3999999999999996E-2</v>
      </c>
      <c r="X15">
        <v>5.0999999999999997E-2</v>
      </c>
      <c r="Y15">
        <v>5.5E-2</v>
      </c>
      <c r="Z15">
        <v>5.7000000000000002E-2</v>
      </c>
      <c r="AA15">
        <v>5.0999999999999997E-2</v>
      </c>
      <c r="AD15">
        <v>5.1999999999999998E-2</v>
      </c>
      <c r="AE15">
        <v>5.3999999999999999E-2</v>
      </c>
      <c r="AF15">
        <v>5.0999999999999997E-2</v>
      </c>
      <c r="AG15">
        <v>0.05</v>
      </c>
      <c r="AH15">
        <v>5.0999999999999997E-2</v>
      </c>
      <c r="AK15">
        <v>7.9000000000000001E-2</v>
      </c>
      <c r="AL15">
        <v>7.8E-2</v>
      </c>
      <c r="AM15">
        <v>7.3999999999999996E-2</v>
      </c>
      <c r="AN15">
        <v>0.108</v>
      </c>
      <c r="AO15">
        <v>7.3999999999999996E-2</v>
      </c>
    </row>
    <row r="16" spans="1:44" hidden="1">
      <c r="A16">
        <v>14</v>
      </c>
      <c r="B16">
        <v>0.10100000000000001</v>
      </c>
      <c r="C16" s="1">
        <v>5.8E-5</v>
      </c>
      <c r="D16">
        <v>1.1805E-2</v>
      </c>
      <c r="E16" s="1">
        <v>7.2000000000000002E-5</v>
      </c>
      <c r="F16" s="1">
        <v>5.5999999999999999E-5</v>
      </c>
      <c r="I16">
        <v>9.2999999999999999E-2</v>
      </c>
      <c r="J16" s="1">
        <v>9.2E-5</v>
      </c>
      <c r="K16" s="1">
        <v>9.0000000000000006E-5</v>
      </c>
      <c r="L16" s="1">
        <v>9.3999999999999994E-5</v>
      </c>
      <c r="M16" s="1">
        <v>9.1000000000000003E-5</v>
      </c>
      <c r="P16">
        <v>5.8000000000000003E-2</v>
      </c>
      <c r="Q16" s="1">
        <v>5.8E-5</v>
      </c>
      <c r="R16" s="1">
        <v>5.5000000000000002E-5</v>
      </c>
      <c r="S16" s="1">
        <v>5.5999999999999999E-5</v>
      </c>
      <c r="T16" s="1">
        <v>5.8E-5</v>
      </c>
      <c r="U16" s="1"/>
      <c r="W16">
        <v>5.6000000000000001E-2</v>
      </c>
      <c r="X16">
        <v>0.05</v>
      </c>
      <c r="Y16">
        <v>5.3999999999999999E-2</v>
      </c>
      <c r="Z16">
        <v>5.7000000000000002E-2</v>
      </c>
      <c r="AA16">
        <v>0.14499999999999999</v>
      </c>
      <c r="AD16">
        <v>5.6000000000000001E-2</v>
      </c>
      <c r="AE16">
        <v>5.2999999999999999E-2</v>
      </c>
      <c r="AF16">
        <v>5.6000000000000001E-2</v>
      </c>
      <c r="AG16">
        <v>5.5E-2</v>
      </c>
      <c r="AH16">
        <v>5.5E-2</v>
      </c>
      <c r="AK16">
        <v>8.3000000000000004E-2</v>
      </c>
      <c r="AL16">
        <v>7.5999999999999998E-2</v>
      </c>
      <c r="AM16">
        <v>7.9000000000000001E-2</v>
      </c>
      <c r="AN16">
        <v>7.1999999999999995E-2</v>
      </c>
      <c r="AO16">
        <v>7.6999999999999999E-2</v>
      </c>
    </row>
    <row r="17" spans="1:41" hidden="1">
      <c r="A17">
        <v>15</v>
      </c>
      <c r="B17">
        <v>5.8000000000000003E-2</v>
      </c>
      <c r="C17" s="1">
        <v>7.3999999999999996E-5</v>
      </c>
      <c r="D17" s="1">
        <v>6.8999999999999997E-5</v>
      </c>
      <c r="E17">
        <v>1.02E-4</v>
      </c>
      <c r="F17">
        <v>2.0599999999999999E-4</v>
      </c>
      <c r="I17">
        <v>0.11</v>
      </c>
      <c r="J17">
        <v>1.06E-4</v>
      </c>
      <c r="K17">
        <v>1.1E-4</v>
      </c>
      <c r="L17" s="1">
        <v>8.3999999999999995E-5</v>
      </c>
      <c r="M17" s="1">
        <v>7.8999999999999996E-5</v>
      </c>
      <c r="P17">
        <v>5.8000000000000003E-2</v>
      </c>
      <c r="Q17" s="1">
        <v>5.7000000000000003E-5</v>
      </c>
      <c r="R17" s="1">
        <v>5.5000000000000002E-5</v>
      </c>
      <c r="S17" s="1">
        <v>5.5000000000000002E-5</v>
      </c>
      <c r="T17" s="1">
        <v>5.5000000000000002E-5</v>
      </c>
      <c r="U17" s="1"/>
      <c r="W17">
        <v>5.6000000000000001E-2</v>
      </c>
      <c r="X17">
        <v>4.9000000000000002E-2</v>
      </c>
      <c r="Y17">
        <v>5.7000000000000002E-2</v>
      </c>
      <c r="Z17">
        <v>0.05</v>
      </c>
      <c r="AA17">
        <v>5.0999999999999997E-2</v>
      </c>
      <c r="AD17">
        <v>5.0999999999999997E-2</v>
      </c>
      <c r="AE17">
        <v>0.05</v>
      </c>
      <c r="AF17">
        <v>0.05</v>
      </c>
      <c r="AG17">
        <v>0.05</v>
      </c>
      <c r="AH17">
        <v>5.1999999999999998E-2</v>
      </c>
      <c r="AK17">
        <v>0.20499999999999999</v>
      </c>
      <c r="AL17">
        <v>7.2999999999999995E-2</v>
      </c>
      <c r="AM17">
        <v>7.9000000000000001E-2</v>
      </c>
      <c r="AN17">
        <v>7.2999999999999995E-2</v>
      </c>
      <c r="AO17">
        <v>7.8E-2</v>
      </c>
    </row>
    <row r="18" spans="1:41" hidden="1">
      <c r="A18">
        <v>16</v>
      </c>
      <c r="B18">
        <v>0.128</v>
      </c>
      <c r="C18">
        <v>1.44E-4</v>
      </c>
      <c r="D18" s="1">
        <v>5.8E-5</v>
      </c>
      <c r="E18" s="1">
        <v>5.5000000000000002E-5</v>
      </c>
      <c r="F18" s="1">
        <v>5.5999999999999999E-5</v>
      </c>
      <c r="I18">
        <v>8.3000000000000004E-2</v>
      </c>
      <c r="J18" s="1">
        <v>8.2000000000000001E-5</v>
      </c>
      <c r="K18">
        <v>3.3300000000000002E-4</v>
      </c>
      <c r="L18">
        <v>1.4899999999999999E-4</v>
      </c>
      <c r="M18" s="1">
        <v>8.0000000000000007E-5</v>
      </c>
      <c r="P18">
        <v>5.7000000000000002E-2</v>
      </c>
      <c r="Q18" s="1">
        <v>5.8999999999999998E-5</v>
      </c>
      <c r="R18">
        <v>1.2999999999999999E-4</v>
      </c>
      <c r="S18" s="1">
        <v>5.5000000000000002E-5</v>
      </c>
      <c r="T18" s="1">
        <v>5.3999999999999998E-5</v>
      </c>
      <c r="U18" s="1"/>
      <c r="W18">
        <v>5.1999999999999998E-2</v>
      </c>
      <c r="X18">
        <v>5.1999999999999998E-2</v>
      </c>
      <c r="Y18">
        <v>5.0999999999999997E-2</v>
      </c>
      <c r="Z18">
        <v>0.108</v>
      </c>
      <c r="AA18">
        <v>5.0999999999999997E-2</v>
      </c>
      <c r="AD18">
        <v>5.5E-2</v>
      </c>
      <c r="AE18">
        <v>5.3999999999999999E-2</v>
      </c>
      <c r="AF18">
        <v>5.5E-2</v>
      </c>
      <c r="AG18">
        <v>5.3999999999999999E-2</v>
      </c>
      <c r="AH18">
        <v>5.5E-2</v>
      </c>
      <c r="AK18">
        <v>7.4999999999999997E-2</v>
      </c>
      <c r="AL18">
        <v>7.6999999999999999E-2</v>
      </c>
      <c r="AM18">
        <v>7.1999999999999995E-2</v>
      </c>
      <c r="AN18">
        <v>0.08</v>
      </c>
      <c r="AO18">
        <v>7.5999999999999998E-2</v>
      </c>
    </row>
    <row r="19" spans="1:41" hidden="1">
      <c r="A19">
        <v>17</v>
      </c>
      <c r="B19">
        <v>5.7000000000000002E-2</v>
      </c>
      <c r="C19" s="1">
        <v>5.7000000000000003E-5</v>
      </c>
      <c r="D19" s="1">
        <v>5.5000000000000002E-5</v>
      </c>
      <c r="E19" s="1">
        <v>5.5000000000000002E-5</v>
      </c>
      <c r="F19">
        <v>1.4200000000000001E-4</v>
      </c>
      <c r="I19">
        <v>8.3000000000000004E-2</v>
      </c>
      <c r="J19" s="1">
        <v>8.2000000000000001E-5</v>
      </c>
      <c r="K19" s="1">
        <v>8.2000000000000001E-5</v>
      </c>
      <c r="L19" s="1">
        <v>7.7999999999999999E-5</v>
      </c>
      <c r="M19" s="1">
        <v>7.7999999999999999E-5</v>
      </c>
      <c r="P19">
        <v>5.6000000000000001E-2</v>
      </c>
      <c r="Q19" s="1">
        <v>5.7000000000000003E-5</v>
      </c>
      <c r="R19" s="1">
        <v>5.5000000000000002E-5</v>
      </c>
      <c r="S19" s="1">
        <v>5.5000000000000002E-5</v>
      </c>
      <c r="T19" s="1">
        <v>5.3999999999999998E-5</v>
      </c>
      <c r="U19" s="1"/>
      <c r="W19">
        <v>5.1999999999999998E-2</v>
      </c>
      <c r="X19">
        <v>6.4240000000000004</v>
      </c>
      <c r="Y19">
        <v>0.81299999999999994</v>
      </c>
      <c r="Z19">
        <v>5.3999999999999999E-2</v>
      </c>
      <c r="AA19">
        <v>5.1999999999999998E-2</v>
      </c>
      <c r="AD19">
        <v>5.6000000000000001E-2</v>
      </c>
      <c r="AE19">
        <v>5.2999999999999999E-2</v>
      </c>
      <c r="AF19">
        <v>0.05</v>
      </c>
      <c r="AG19">
        <v>5.0999999999999997E-2</v>
      </c>
      <c r="AH19">
        <v>0.05</v>
      </c>
      <c r="AK19">
        <v>8.3000000000000004E-2</v>
      </c>
      <c r="AL19">
        <v>7.6999999999999999E-2</v>
      </c>
      <c r="AM19">
        <v>8.5000000000000006E-2</v>
      </c>
      <c r="AN19">
        <v>8.5999999999999993E-2</v>
      </c>
      <c r="AO19">
        <v>8.3000000000000004E-2</v>
      </c>
    </row>
    <row r="20" spans="1:41" hidden="1">
      <c r="A20">
        <v>18</v>
      </c>
      <c r="B20">
        <v>0.129</v>
      </c>
      <c r="C20" s="1">
        <v>5.8999999999999998E-5</v>
      </c>
      <c r="D20">
        <v>5.1400000000000003E-4</v>
      </c>
      <c r="E20">
        <v>1.3969000000000001E-2</v>
      </c>
      <c r="F20">
        <v>1.7649000000000001E-2</v>
      </c>
      <c r="I20">
        <v>8.3000000000000004E-2</v>
      </c>
      <c r="J20">
        <v>2.0699999999999999E-4</v>
      </c>
      <c r="K20" s="1">
        <v>7.8999999999999996E-5</v>
      </c>
      <c r="L20" s="1">
        <v>7.7999999999999999E-5</v>
      </c>
      <c r="M20" s="1">
        <v>7.7999999999999999E-5</v>
      </c>
      <c r="P20">
        <v>5.8000000000000003E-2</v>
      </c>
      <c r="Q20" s="1">
        <v>5.8E-5</v>
      </c>
      <c r="R20" s="1">
        <v>5.5000000000000002E-5</v>
      </c>
      <c r="S20" s="1">
        <v>5.3999999999999998E-5</v>
      </c>
      <c r="T20" s="1">
        <v>5.3000000000000001E-5</v>
      </c>
      <c r="U20" s="1"/>
      <c r="W20">
        <v>5.1999999999999998E-2</v>
      </c>
      <c r="X20">
        <v>2.3330000000000002</v>
      </c>
      <c r="Y20">
        <v>5.6000000000000001E-2</v>
      </c>
      <c r="Z20">
        <v>5.5E-2</v>
      </c>
      <c r="AA20">
        <v>5.8000000000000003E-2</v>
      </c>
      <c r="AD20">
        <v>0.05</v>
      </c>
      <c r="AE20">
        <v>0.13200000000000001</v>
      </c>
      <c r="AF20">
        <v>5.0999999999999997E-2</v>
      </c>
      <c r="AG20">
        <v>0.05</v>
      </c>
      <c r="AH20">
        <v>0.05</v>
      </c>
      <c r="AK20">
        <v>7.2999999999999995E-2</v>
      </c>
      <c r="AL20">
        <v>7.0000000000000007E-2</v>
      </c>
      <c r="AM20">
        <v>7.3999999999999996E-2</v>
      </c>
      <c r="AN20">
        <v>1.0549999999999999</v>
      </c>
      <c r="AO20">
        <v>7.0000000000000007E-2</v>
      </c>
    </row>
    <row r="21" spans="1:41" hidden="1">
      <c r="A21">
        <v>19</v>
      </c>
      <c r="B21">
        <v>8.8999999999999996E-2</v>
      </c>
      <c r="C21" s="1">
        <v>8.5000000000000006E-5</v>
      </c>
      <c r="D21" s="1">
        <v>8.3999999999999995E-5</v>
      </c>
      <c r="E21" s="1">
        <v>8.2000000000000001E-5</v>
      </c>
      <c r="F21" s="1">
        <v>7.8999999999999996E-5</v>
      </c>
      <c r="I21">
        <v>8.5000000000000006E-2</v>
      </c>
      <c r="J21" s="1">
        <v>8.1000000000000004E-5</v>
      </c>
      <c r="K21" s="1">
        <v>7.8999999999999996E-5</v>
      </c>
      <c r="L21" s="1">
        <v>8.2000000000000001E-5</v>
      </c>
      <c r="M21" s="1">
        <v>7.7000000000000001E-5</v>
      </c>
      <c r="P21">
        <v>5.6000000000000001E-2</v>
      </c>
      <c r="Q21">
        <v>6.4710000000000002E-3</v>
      </c>
      <c r="R21">
        <v>7.6499999999999995E-4</v>
      </c>
      <c r="S21" s="1">
        <v>8.5000000000000006E-5</v>
      </c>
      <c r="T21">
        <v>2.2000000000000001E-4</v>
      </c>
      <c r="W21">
        <v>5.2999999999999999E-2</v>
      </c>
      <c r="X21">
        <v>5.8000000000000003E-2</v>
      </c>
      <c r="Y21">
        <v>5.5E-2</v>
      </c>
      <c r="Z21">
        <v>5.6000000000000001E-2</v>
      </c>
      <c r="AA21">
        <v>5.8000000000000003E-2</v>
      </c>
      <c r="AD21">
        <v>6.0999999999999999E-2</v>
      </c>
      <c r="AE21">
        <v>5.2999999999999999E-2</v>
      </c>
      <c r="AF21">
        <v>5.0999999999999997E-2</v>
      </c>
      <c r="AG21">
        <v>5.1999999999999998E-2</v>
      </c>
      <c r="AH21">
        <v>0.21199999999999999</v>
      </c>
      <c r="AK21">
        <v>7.0999999999999994E-2</v>
      </c>
      <c r="AL21">
        <v>6.8000000000000005E-2</v>
      </c>
      <c r="AM21">
        <v>6.4000000000000001E-2</v>
      </c>
      <c r="AN21">
        <v>6.4000000000000001E-2</v>
      </c>
      <c r="AO21">
        <v>6.8000000000000005E-2</v>
      </c>
    </row>
    <row r="22" spans="1:41" hidden="1">
      <c r="A22">
        <v>20</v>
      </c>
      <c r="B22">
        <v>8.3000000000000004E-2</v>
      </c>
      <c r="C22" s="1">
        <v>8.2000000000000001E-5</v>
      </c>
      <c r="D22" s="1">
        <v>8.2999999999999998E-5</v>
      </c>
      <c r="E22" s="1">
        <v>7.7999999999999999E-5</v>
      </c>
      <c r="F22">
        <v>3.2899999999999997E-4</v>
      </c>
      <c r="I22">
        <v>0.20200000000000001</v>
      </c>
      <c r="J22" s="1">
        <v>8.1000000000000004E-5</v>
      </c>
      <c r="K22">
        <v>1.078E-3</v>
      </c>
      <c r="L22" s="1">
        <v>8.8999999999999995E-5</v>
      </c>
      <c r="M22" s="1">
        <v>8.5000000000000006E-5</v>
      </c>
      <c r="P22">
        <v>6.7000000000000004E-2</v>
      </c>
      <c r="Q22">
        <v>2.317E-3</v>
      </c>
      <c r="R22" s="1">
        <v>5.5000000000000002E-5</v>
      </c>
      <c r="S22" s="1">
        <v>5.5000000000000002E-5</v>
      </c>
      <c r="T22" s="1">
        <v>5.7000000000000003E-5</v>
      </c>
      <c r="U22" s="1"/>
      <c r="W22">
        <v>5.1999999999999998E-2</v>
      </c>
      <c r="X22">
        <v>0.05</v>
      </c>
      <c r="Y22">
        <v>5.0999999999999997E-2</v>
      </c>
      <c r="Z22">
        <v>0.14299999999999999</v>
      </c>
      <c r="AA22">
        <v>5.1999999999999998E-2</v>
      </c>
      <c r="AD22">
        <v>5.5E-2</v>
      </c>
      <c r="AE22">
        <v>7.0999999999999994E-2</v>
      </c>
      <c r="AF22">
        <v>7.2999999999999995E-2</v>
      </c>
      <c r="AG22">
        <v>5.2999999999999999E-2</v>
      </c>
      <c r="AH22">
        <v>5.1999999999999998E-2</v>
      </c>
      <c r="AK22">
        <v>7.0000000000000007E-2</v>
      </c>
      <c r="AL22">
        <v>0.14599999999999999</v>
      </c>
      <c r="AM22">
        <v>0.06</v>
      </c>
      <c r="AN22">
        <v>5.8999999999999997E-2</v>
      </c>
      <c r="AO22">
        <v>5.8000000000000003E-2</v>
      </c>
    </row>
    <row r="23" spans="1:41" hidden="1">
      <c r="A23">
        <v>21</v>
      </c>
      <c r="B23">
        <v>9.1999999999999998E-2</v>
      </c>
      <c r="C23">
        <v>7.1000000000000004E-3</v>
      </c>
      <c r="D23">
        <v>1.1400000000000001E-4</v>
      </c>
      <c r="E23">
        <v>1.05E-4</v>
      </c>
      <c r="F23">
        <v>1.11E-4</v>
      </c>
      <c r="I23">
        <v>8.5999999999999993E-2</v>
      </c>
      <c r="J23" s="1">
        <v>8.2999999999999998E-5</v>
      </c>
      <c r="K23" s="1">
        <v>7.8999999999999996E-5</v>
      </c>
      <c r="L23" s="1">
        <v>8.1000000000000004E-5</v>
      </c>
      <c r="M23" s="1">
        <v>7.7999999999999999E-5</v>
      </c>
      <c r="P23">
        <v>5.7000000000000002E-2</v>
      </c>
      <c r="Q23" s="1">
        <v>5.7000000000000003E-5</v>
      </c>
      <c r="R23" s="1">
        <v>5.5000000000000002E-5</v>
      </c>
      <c r="S23" s="1">
        <v>5.3999999999999998E-5</v>
      </c>
      <c r="T23" s="1">
        <v>5.3999999999999998E-5</v>
      </c>
      <c r="U23" s="1"/>
      <c r="W23">
        <v>5.7000000000000002E-2</v>
      </c>
      <c r="X23">
        <v>0.16</v>
      </c>
      <c r="Y23">
        <v>5.2999999999999999E-2</v>
      </c>
      <c r="Z23">
        <v>5.0999999999999997E-2</v>
      </c>
      <c r="AA23">
        <v>5.1999999999999998E-2</v>
      </c>
      <c r="AD23">
        <v>0.13600000000000001</v>
      </c>
      <c r="AE23">
        <v>4.9000000000000002E-2</v>
      </c>
      <c r="AF23">
        <v>5.0999999999999997E-2</v>
      </c>
      <c r="AG23">
        <v>0.05</v>
      </c>
      <c r="AH23">
        <v>14.12</v>
      </c>
      <c r="AK23">
        <v>5.8999999999999997E-2</v>
      </c>
      <c r="AL23">
        <v>9.6859999999999999</v>
      </c>
      <c r="AM23">
        <v>0.51500000000000001</v>
      </c>
      <c r="AN23">
        <v>5.8000000000000003E-2</v>
      </c>
      <c r="AO23">
        <v>6.4000000000000001E-2</v>
      </c>
    </row>
    <row r="24" spans="1:41" hidden="1">
      <c r="A24">
        <v>22</v>
      </c>
      <c r="B24">
        <v>0.109</v>
      </c>
      <c r="C24">
        <v>1.0900000000000001E-4</v>
      </c>
      <c r="D24">
        <v>1.1E-4</v>
      </c>
      <c r="E24">
        <v>1.0399999999999999E-4</v>
      </c>
      <c r="F24">
        <v>1.02E-4</v>
      </c>
      <c r="I24">
        <v>8.2000000000000003E-2</v>
      </c>
      <c r="J24" s="1">
        <v>9.2E-5</v>
      </c>
      <c r="K24" s="1">
        <v>7.2000000000000002E-5</v>
      </c>
      <c r="L24" s="1">
        <v>7.6000000000000004E-5</v>
      </c>
      <c r="M24" s="1">
        <v>7.4999999999999993E-5</v>
      </c>
      <c r="P24">
        <v>5.7000000000000002E-2</v>
      </c>
      <c r="Q24" s="1">
        <v>5.8E-5</v>
      </c>
      <c r="R24" s="1">
        <v>5.5999999999999999E-5</v>
      </c>
      <c r="S24">
        <v>1.84E-4</v>
      </c>
      <c r="T24" s="1">
        <v>5.7000000000000003E-5</v>
      </c>
      <c r="U24" s="1"/>
      <c r="W24">
        <v>5.0999999999999997E-2</v>
      </c>
      <c r="X24">
        <v>0.05</v>
      </c>
      <c r="Y24">
        <v>0.13300000000000001</v>
      </c>
      <c r="Z24">
        <v>8.8219999999999992</v>
      </c>
      <c r="AA24">
        <v>0.105</v>
      </c>
      <c r="AD24">
        <v>0.47799999999999998</v>
      </c>
      <c r="AE24">
        <v>7.3999999999999996E-2</v>
      </c>
      <c r="AF24">
        <v>7.4999999999999997E-2</v>
      </c>
      <c r="AG24">
        <v>8.4000000000000005E-2</v>
      </c>
      <c r="AH24">
        <v>0.05</v>
      </c>
      <c r="AK24">
        <v>5.8000000000000003E-2</v>
      </c>
      <c r="AL24">
        <v>4.9000000000000002E-2</v>
      </c>
      <c r="AM24">
        <v>0.05</v>
      </c>
      <c r="AN24">
        <v>4.9000000000000002E-2</v>
      </c>
      <c r="AO24">
        <v>5.2999999999999999E-2</v>
      </c>
    </row>
    <row r="25" spans="1:41" hidden="1">
      <c r="A25">
        <v>23</v>
      </c>
      <c r="B25">
        <v>9.4E-2</v>
      </c>
      <c r="C25" s="1">
        <v>9.6000000000000002E-5</v>
      </c>
      <c r="D25">
        <v>1.92E-4</v>
      </c>
      <c r="E25" s="1">
        <v>9.2E-5</v>
      </c>
      <c r="F25">
        <v>1.03E-4</v>
      </c>
      <c r="I25">
        <v>7.3999999999999996E-2</v>
      </c>
      <c r="J25" s="1">
        <v>7.8999999999999996E-5</v>
      </c>
      <c r="K25" s="1">
        <v>7.7999999999999999E-5</v>
      </c>
      <c r="L25" s="1">
        <v>7.4999999999999993E-5</v>
      </c>
      <c r="M25" s="1">
        <v>7.2999999999999999E-5</v>
      </c>
      <c r="P25">
        <v>6.4000000000000001E-2</v>
      </c>
      <c r="Q25" s="1">
        <v>5.7000000000000003E-5</v>
      </c>
      <c r="R25" s="1">
        <v>6.3E-5</v>
      </c>
      <c r="S25" s="1">
        <v>5.5000000000000002E-5</v>
      </c>
      <c r="T25" s="1">
        <v>5.5000000000000002E-5</v>
      </c>
      <c r="U25" s="1"/>
      <c r="W25">
        <v>0.105</v>
      </c>
      <c r="X25">
        <v>0.10199999999999999</v>
      </c>
      <c r="Y25">
        <v>0.105</v>
      </c>
      <c r="Z25">
        <v>9.4E-2</v>
      </c>
      <c r="AA25">
        <v>9.5000000000000001E-2</v>
      </c>
      <c r="AD25">
        <v>5.0999999999999997E-2</v>
      </c>
      <c r="AE25">
        <v>0.05</v>
      </c>
      <c r="AF25">
        <v>0.221</v>
      </c>
      <c r="AG25">
        <v>5.7000000000000002E-2</v>
      </c>
      <c r="AH25">
        <v>5.3999999999999999E-2</v>
      </c>
      <c r="AK25">
        <v>5.1999999999999998E-2</v>
      </c>
      <c r="AL25">
        <v>5.0999999999999997E-2</v>
      </c>
      <c r="AM25">
        <v>5.0999999999999997E-2</v>
      </c>
      <c r="AN25">
        <v>0.05</v>
      </c>
      <c r="AO25">
        <v>5.5E-2</v>
      </c>
    </row>
    <row r="26" spans="1:41" hidden="1">
      <c r="A26">
        <v>24</v>
      </c>
      <c r="B26">
        <v>8.4000000000000005E-2</v>
      </c>
      <c r="C26">
        <v>1.12E-4</v>
      </c>
      <c r="D26" s="1">
        <v>8.2999999999999998E-5</v>
      </c>
      <c r="E26" s="1">
        <v>8.1000000000000004E-5</v>
      </c>
      <c r="F26" s="1">
        <v>7.8999999999999996E-5</v>
      </c>
      <c r="I26">
        <v>8.1000000000000003E-2</v>
      </c>
      <c r="J26" s="1">
        <v>7.3999999999999996E-5</v>
      </c>
      <c r="K26" s="1">
        <v>7.7000000000000001E-5</v>
      </c>
      <c r="L26" s="1">
        <v>7.2000000000000002E-5</v>
      </c>
      <c r="M26" s="1">
        <v>6.9999999999999994E-5</v>
      </c>
      <c r="P26">
        <v>0.34699999999999998</v>
      </c>
      <c r="Q26" s="1">
        <v>6.4999999999999994E-5</v>
      </c>
      <c r="R26" s="1">
        <v>6.0000000000000002E-5</v>
      </c>
      <c r="S26" s="1">
        <v>6.3E-5</v>
      </c>
      <c r="T26" s="1">
        <v>6.0000000000000002E-5</v>
      </c>
      <c r="U26" s="1"/>
      <c r="W26">
        <v>9.7000000000000003E-2</v>
      </c>
      <c r="X26">
        <v>0.27300000000000002</v>
      </c>
      <c r="Y26">
        <v>8.5000000000000006E-2</v>
      </c>
      <c r="Z26">
        <v>8.3000000000000004E-2</v>
      </c>
      <c r="AA26">
        <v>8.3000000000000004E-2</v>
      </c>
      <c r="AD26">
        <v>5.5E-2</v>
      </c>
      <c r="AE26">
        <v>5.5E-2</v>
      </c>
      <c r="AF26">
        <v>5.3999999999999999E-2</v>
      </c>
      <c r="AG26">
        <v>5.5E-2</v>
      </c>
      <c r="AH26">
        <v>5.3999999999999999E-2</v>
      </c>
      <c r="AK26">
        <v>5.7000000000000002E-2</v>
      </c>
      <c r="AL26">
        <v>4.9000000000000002E-2</v>
      </c>
      <c r="AM26">
        <v>5.0999999999999997E-2</v>
      </c>
      <c r="AN26">
        <v>0.14000000000000001</v>
      </c>
      <c r="AO26">
        <v>5.8000000000000003E-2</v>
      </c>
    </row>
    <row r="27" spans="1:41" hidden="1">
      <c r="A27">
        <v>25</v>
      </c>
      <c r="B27">
        <v>8.2000000000000003E-2</v>
      </c>
      <c r="C27" s="1">
        <v>8.1000000000000004E-5</v>
      </c>
      <c r="D27" s="1">
        <v>7.7999999999999999E-5</v>
      </c>
      <c r="E27" s="1">
        <v>7.8999999999999996E-5</v>
      </c>
      <c r="F27" s="1">
        <v>7.7000000000000001E-5</v>
      </c>
      <c r="I27">
        <v>7.2999999999999995E-2</v>
      </c>
      <c r="J27">
        <v>8.4080000000000005E-3</v>
      </c>
      <c r="K27">
        <v>6.1600000000000001E-4</v>
      </c>
      <c r="L27">
        <v>1.12E-4</v>
      </c>
      <c r="M27">
        <v>1.13E-4</v>
      </c>
      <c r="P27">
        <v>6.6000000000000003E-2</v>
      </c>
      <c r="Q27" s="1">
        <v>6.4999999999999994E-5</v>
      </c>
      <c r="R27" s="1">
        <v>5.8999999999999998E-5</v>
      </c>
      <c r="S27">
        <v>2.2100000000000001E-4</v>
      </c>
      <c r="T27" s="1">
        <v>5.5000000000000002E-5</v>
      </c>
      <c r="U27" s="1"/>
      <c r="W27">
        <v>0.107</v>
      </c>
      <c r="X27">
        <v>0.111</v>
      </c>
      <c r="Y27">
        <v>7.9000000000000001E-2</v>
      </c>
      <c r="Z27">
        <v>0.08</v>
      </c>
      <c r="AA27">
        <v>7.2999999999999995E-2</v>
      </c>
      <c r="AD27">
        <v>5.5E-2</v>
      </c>
      <c r="AE27">
        <v>5.3999999999999999E-2</v>
      </c>
      <c r="AF27">
        <v>5.3999999999999999E-2</v>
      </c>
      <c r="AG27">
        <v>5.3999999999999999E-2</v>
      </c>
      <c r="AH27">
        <v>4.9000000000000002E-2</v>
      </c>
      <c r="AK27">
        <v>0.06</v>
      </c>
      <c r="AL27">
        <v>5.3999999999999999E-2</v>
      </c>
      <c r="AM27">
        <v>5.5E-2</v>
      </c>
      <c r="AN27">
        <v>5.0999999999999997E-2</v>
      </c>
      <c r="AO27">
        <v>0.05</v>
      </c>
    </row>
    <row r="28" spans="1:41" hidden="1">
      <c r="A28">
        <v>26</v>
      </c>
      <c r="B28">
        <v>8.4000000000000005E-2</v>
      </c>
      <c r="C28" s="1">
        <v>8.1000000000000004E-5</v>
      </c>
      <c r="D28" s="1">
        <v>8.0000000000000007E-5</v>
      </c>
      <c r="E28">
        <v>2.33E-4</v>
      </c>
      <c r="F28" s="1">
        <v>8.2000000000000001E-5</v>
      </c>
      <c r="I28">
        <v>0.113</v>
      </c>
      <c r="J28">
        <v>1.11E-4</v>
      </c>
      <c r="K28">
        <v>1.05E-4</v>
      </c>
      <c r="L28">
        <v>1.05E-4</v>
      </c>
      <c r="M28">
        <v>1.11E-4</v>
      </c>
      <c r="P28">
        <v>6.3E-2</v>
      </c>
      <c r="Q28" s="1">
        <v>6.2000000000000003E-5</v>
      </c>
      <c r="R28" s="1">
        <v>5.8999999999999998E-5</v>
      </c>
      <c r="S28" s="1">
        <v>5.8999999999999998E-5</v>
      </c>
      <c r="T28" s="1">
        <v>5.8999999999999998E-5</v>
      </c>
      <c r="U28" s="1"/>
      <c r="W28">
        <v>0.20399999999999999</v>
      </c>
      <c r="X28">
        <v>7.1999999999999995E-2</v>
      </c>
      <c r="Y28">
        <v>0.315</v>
      </c>
      <c r="Z28">
        <v>7.5999999999999998E-2</v>
      </c>
      <c r="AA28">
        <v>9.1999999999999998E-2</v>
      </c>
      <c r="AD28">
        <v>5.0999999999999997E-2</v>
      </c>
      <c r="AE28">
        <v>0.16300000000000001</v>
      </c>
      <c r="AF28">
        <v>5.7000000000000002E-2</v>
      </c>
      <c r="AG28">
        <v>5.3999999999999999E-2</v>
      </c>
      <c r="AH28">
        <v>5.5E-2</v>
      </c>
      <c r="AK28">
        <v>5.0999999999999997E-2</v>
      </c>
      <c r="AL28">
        <v>0.13700000000000001</v>
      </c>
      <c r="AM28">
        <v>5.5E-2</v>
      </c>
      <c r="AN28">
        <v>5.8000000000000003E-2</v>
      </c>
      <c r="AO28">
        <v>5.6000000000000001E-2</v>
      </c>
    </row>
    <row r="29" spans="1:41" hidden="1">
      <c r="A29">
        <v>27</v>
      </c>
      <c r="B29">
        <v>8.5999999999999993E-2</v>
      </c>
      <c r="C29" s="1">
        <v>8.2999999999999998E-5</v>
      </c>
      <c r="D29" s="1">
        <v>8.0000000000000007E-5</v>
      </c>
      <c r="E29" s="1">
        <v>8.0000000000000007E-5</v>
      </c>
      <c r="F29" s="1">
        <v>7.8999999999999996E-5</v>
      </c>
      <c r="I29">
        <v>9.4E-2</v>
      </c>
      <c r="J29" s="1">
        <v>9.3999999999999994E-5</v>
      </c>
      <c r="K29">
        <v>5.5240000000000003E-3</v>
      </c>
      <c r="L29" s="1">
        <v>8.8999999999999995E-5</v>
      </c>
      <c r="M29" s="1">
        <v>9.5000000000000005E-5</v>
      </c>
      <c r="P29">
        <v>6.3E-2</v>
      </c>
      <c r="Q29" s="1">
        <v>5.8999999999999998E-5</v>
      </c>
      <c r="R29" s="1">
        <v>5.5000000000000002E-5</v>
      </c>
      <c r="S29" s="1">
        <v>5.5000000000000002E-5</v>
      </c>
      <c r="T29">
        <v>1.1594999999999999E-2</v>
      </c>
      <c r="W29">
        <v>0.20200000000000001</v>
      </c>
      <c r="X29">
        <v>7.0999999999999994E-2</v>
      </c>
      <c r="Y29">
        <v>7.0999999999999994E-2</v>
      </c>
      <c r="Z29">
        <v>7.0999999999999994E-2</v>
      </c>
      <c r="AA29">
        <v>7.0999999999999994E-2</v>
      </c>
      <c r="AD29">
        <v>5.5E-2</v>
      </c>
      <c r="AE29">
        <v>0.05</v>
      </c>
      <c r="AF29">
        <v>0.25800000000000001</v>
      </c>
      <c r="AG29">
        <v>7.2999999999999995E-2</v>
      </c>
      <c r="AH29">
        <v>5.1999999999999998E-2</v>
      </c>
      <c r="AK29">
        <v>5.7000000000000002E-2</v>
      </c>
      <c r="AL29">
        <v>4.9000000000000002E-2</v>
      </c>
      <c r="AM29">
        <v>0.05</v>
      </c>
      <c r="AN29">
        <v>8.4440000000000008</v>
      </c>
      <c r="AO29">
        <v>5.1999999999999998E-2</v>
      </c>
    </row>
    <row r="30" spans="1:41" hidden="1">
      <c r="A30">
        <v>28</v>
      </c>
      <c r="B30">
        <v>8.8999999999999996E-2</v>
      </c>
      <c r="C30" s="1">
        <v>8.8999999999999995E-5</v>
      </c>
      <c r="D30" s="1">
        <v>8.0000000000000007E-5</v>
      </c>
      <c r="E30">
        <v>1.5699999999999999E-4</v>
      </c>
      <c r="F30" s="1">
        <v>8.0000000000000007E-5</v>
      </c>
      <c r="I30">
        <v>9.5000000000000001E-2</v>
      </c>
      <c r="J30" s="1">
        <v>9.3999999999999994E-5</v>
      </c>
      <c r="K30" s="1">
        <v>7.8999999999999996E-5</v>
      </c>
      <c r="L30" s="1">
        <v>8.3999999999999995E-5</v>
      </c>
      <c r="M30" s="1">
        <v>7.7999999999999999E-5</v>
      </c>
      <c r="P30">
        <v>0.41599999999999998</v>
      </c>
      <c r="Q30" s="1">
        <v>5.8999999999999998E-5</v>
      </c>
      <c r="R30" s="1">
        <v>5.5999999999999999E-5</v>
      </c>
      <c r="S30" s="1">
        <v>6.0000000000000002E-5</v>
      </c>
      <c r="T30" s="1">
        <v>6.0000000000000002E-5</v>
      </c>
      <c r="U30" s="1"/>
      <c r="W30">
        <v>0.41</v>
      </c>
      <c r="X30">
        <v>8.5999999999999993E-2</v>
      </c>
      <c r="Y30">
        <v>9.6000000000000002E-2</v>
      </c>
      <c r="Z30">
        <v>0.10299999999999999</v>
      </c>
      <c r="AA30">
        <v>7.5999999999999998E-2</v>
      </c>
      <c r="AD30">
        <v>5.1999999999999998E-2</v>
      </c>
      <c r="AE30">
        <v>0.123</v>
      </c>
      <c r="AF30">
        <v>0.05</v>
      </c>
      <c r="AG30">
        <v>5.0999999999999997E-2</v>
      </c>
      <c r="AH30">
        <v>5.0999999999999997E-2</v>
      </c>
      <c r="AK30">
        <v>5.6000000000000001E-2</v>
      </c>
      <c r="AL30">
        <v>5.6000000000000001E-2</v>
      </c>
      <c r="AM30">
        <v>5.5E-2</v>
      </c>
      <c r="AN30">
        <v>4.9000000000000002E-2</v>
      </c>
      <c r="AO30">
        <v>0.05</v>
      </c>
    </row>
    <row r="31" spans="1:41" hidden="1">
      <c r="A31">
        <v>29</v>
      </c>
      <c r="B31">
        <v>8.4000000000000005E-2</v>
      </c>
      <c r="C31">
        <v>1.7899999999999999E-4</v>
      </c>
      <c r="D31" s="1">
        <v>8.1000000000000004E-5</v>
      </c>
      <c r="E31" s="1">
        <v>7.8999999999999996E-5</v>
      </c>
      <c r="F31" s="1">
        <v>7.7999999999999999E-5</v>
      </c>
      <c r="I31">
        <v>8.8999999999999996E-2</v>
      </c>
      <c r="J31" s="1">
        <v>9.1000000000000003E-5</v>
      </c>
      <c r="K31" s="1">
        <v>8.1000000000000004E-5</v>
      </c>
      <c r="L31" s="1">
        <v>7.8999999999999996E-5</v>
      </c>
      <c r="M31" s="1">
        <v>7.7999999999999999E-5</v>
      </c>
      <c r="P31">
        <v>5.6000000000000001E-2</v>
      </c>
      <c r="Q31" s="1">
        <v>9.7E-5</v>
      </c>
      <c r="R31">
        <v>2.7E-4</v>
      </c>
      <c r="S31" s="1">
        <v>5.5000000000000002E-5</v>
      </c>
      <c r="T31" s="1">
        <v>5.3999999999999998E-5</v>
      </c>
      <c r="U31" s="1"/>
      <c r="W31">
        <v>7.2999999999999995E-2</v>
      </c>
      <c r="X31">
        <v>7.0000000000000007E-2</v>
      </c>
      <c r="Y31">
        <v>7.2999999999999995E-2</v>
      </c>
      <c r="Z31">
        <v>7.2999999999999995E-2</v>
      </c>
      <c r="AA31">
        <v>7.1999999999999995E-2</v>
      </c>
      <c r="AD31">
        <v>5.1999999999999998E-2</v>
      </c>
      <c r="AE31">
        <v>0.05</v>
      </c>
      <c r="AF31">
        <v>0.05</v>
      </c>
      <c r="AG31">
        <v>5.0999999999999997E-2</v>
      </c>
      <c r="AH31">
        <v>0.27</v>
      </c>
      <c r="AK31">
        <v>5.0999999999999997E-2</v>
      </c>
      <c r="AL31">
        <v>8.6999999999999994E-2</v>
      </c>
      <c r="AM31">
        <v>7.2999999999999995E-2</v>
      </c>
      <c r="AN31">
        <v>0.128</v>
      </c>
      <c r="AO31">
        <v>5.3999999999999999E-2</v>
      </c>
    </row>
    <row r="32" spans="1:41" hidden="1">
      <c r="A32">
        <v>30</v>
      </c>
      <c r="B32">
        <v>1.2789999999999999</v>
      </c>
      <c r="C32">
        <v>8.3699999999999996E-4</v>
      </c>
      <c r="D32" s="1">
        <v>8.2000000000000001E-5</v>
      </c>
      <c r="E32" s="1">
        <v>7.8999999999999996E-5</v>
      </c>
      <c r="F32">
        <v>2.1800000000000001E-4</v>
      </c>
      <c r="I32">
        <v>0.2</v>
      </c>
      <c r="J32" s="1">
        <v>8.5000000000000006E-5</v>
      </c>
      <c r="K32">
        <v>1.18E-4</v>
      </c>
      <c r="L32" s="1">
        <v>8.1000000000000004E-5</v>
      </c>
      <c r="M32" s="1">
        <v>8.0000000000000007E-5</v>
      </c>
      <c r="P32">
        <v>6.2E-2</v>
      </c>
      <c r="Q32" s="1">
        <v>6.3E-5</v>
      </c>
      <c r="R32" s="1">
        <v>6.0999999999999999E-5</v>
      </c>
      <c r="S32" s="1">
        <v>6.0000000000000002E-5</v>
      </c>
      <c r="T32" s="1">
        <v>6.0999999999999999E-5</v>
      </c>
      <c r="U32" s="1"/>
      <c r="W32">
        <v>7.1999999999999995E-2</v>
      </c>
      <c r="X32">
        <v>7.0000000000000007E-2</v>
      </c>
      <c r="Y32">
        <v>7.0999999999999994E-2</v>
      </c>
      <c r="Z32">
        <v>7.1999999999999995E-2</v>
      </c>
      <c r="AA32">
        <v>7.0999999999999994E-2</v>
      </c>
      <c r="AD32">
        <v>5.3999999999999999E-2</v>
      </c>
      <c r="AE32">
        <v>5.5E-2</v>
      </c>
      <c r="AF32">
        <v>0.05</v>
      </c>
      <c r="AG32">
        <v>5.1999999999999998E-2</v>
      </c>
      <c r="AH32">
        <v>0.05</v>
      </c>
      <c r="AK32">
        <v>5.8999999999999997E-2</v>
      </c>
      <c r="AL32">
        <v>0.05</v>
      </c>
      <c r="AM32">
        <v>5.0999999999999997E-2</v>
      </c>
      <c r="AN32">
        <v>5.0999999999999997E-2</v>
      </c>
      <c r="AO32">
        <v>0.27700000000000002</v>
      </c>
    </row>
    <row r="33" spans="1:41" hidden="1">
      <c r="A33">
        <v>31</v>
      </c>
      <c r="B33">
        <v>8.7999999999999995E-2</v>
      </c>
      <c r="C33" s="1">
        <v>7.4999999999999993E-5</v>
      </c>
      <c r="D33" s="1">
        <v>7.1000000000000005E-5</v>
      </c>
      <c r="E33" s="1">
        <v>6.9999999999999994E-5</v>
      </c>
      <c r="F33" s="1">
        <v>7.1000000000000005E-5</v>
      </c>
      <c r="I33">
        <v>8.3000000000000004E-2</v>
      </c>
      <c r="J33" s="1">
        <v>8.2999999999999998E-5</v>
      </c>
      <c r="K33" s="1">
        <v>7.8999999999999996E-5</v>
      </c>
      <c r="L33" s="1">
        <v>8.0000000000000007E-5</v>
      </c>
      <c r="M33">
        <v>1.5200000000000001E-4</v>
      </c>
      <c r="P33">
        <v>6.3E-2</v>
      </c>
      <c r="Q33" s="1">
        <v>6.4999999999999994E-5</v>
      </c>
      <c r="R33" s="1">
        <v>5.8E-5</v>
      </c>
      <c r="S33" s="1">
        <v>6.0000000000000002E-5</v>
      </c>
      <c r="T33" s="1">
        <v>5.8999999999999998E-5</v>
      </c>
      <c r="U33" s="1"/>
      <c r="W33">
        <v>7.1999999999999995E-2</v>
      </c>
      <c r="X33">
        <v>7.0000000000000007E-2</v>
      </c>
      <c r="Y33">
        <v>7.1999999999999995E-2</v>
      </c>
      <c r="Z33">
        <v>7.1999999999999995E-2</v>
      </c>
      <c r="AA33">
        <v>7.0999999999999994E-2</v>
      </c>
      <c r="AD33">
        <v>5.2999999999999999E-2</v>
      </c>
      <c r="AE33">
        <v>0.58099999999999996</v>
      </c>
      <c r="AF33">
        <v>5.1999999999999998E-2</v>
      </c>
      <c r="AG33">
        <v>0.13900000000000001</v>
      </c>
      <c r="AH33">
        <v>0.05</v>
      </c>
      <c r="AK33">
        <v>9.2999999999999999E-2</v>
      </c>
      <c r="AL33">
        <v>5.0999999999999997E-2</v>
      </c>
      <c r="AM33">
        <v>5.0999999999999997E-2</v>
      </c>
      <c r="AN33">
        <v>0.05</v>
      </c>
      <c r="AO33">
        <v>0.05</v>
      </c>
    </row>
    <row r="34" spans="1:41" hidden="1">
      <c r="A34">
        <v>32</v>
      </c>
      <c r="B34">
        <v>7.6999999999999999E-2</v>
      </c>
      <c r="C34" s="1">
        <v>7.2000000000000002E-5</v>
      </c>
      <c r="D34" s="1">
        <v>6.8999999999999997E-5</v>
      </c>
      <c r="E34" s="1">
        <v>6.9999999999999994E-5</v>
      </c>
      <c r="F34" s="1">
        <v>6.8999999999999997E-5</v>
      </c>
      <c r="I34">
        <v>0.107</v>
      </c>
      <c r="J34">
        <v>1.06E-4</v>
      </c>
      <c r="K34">
        <v>1.05E-4</v>
      </c>
      <c r="L34">
        <v>5.6400000000000005E-4</v>
      </c>
      <c r="M34" s="1">
        <v>8.1000000000000004E-5</v>
      </c>
      <c r="P34">
        <v>5.7000000000000002E-2</v>
      </c>
      <c r="Q34" s="1">
        <v>5.8E-5</v>
      </c>
      <c r="R34" s="1">
        <v>5.5000000000000002E-5</v>
      </c>
      <c r="S34" s="1">
        <v>5.5000000000000002E-5</v>
      </c>
      <c r="T34" s="1">
        <v>5.5000000000000002E-5</v>
      </c>
      <c r="U34" s="1"/>
      <c r="W34">
        <v>7.0999999999999994E-2</v>
      </c>
      <c r="X34">
        <v>7.0000000000000007E-2</v>
      </c>
      <c r="Y34">
        <v>7.0000000000000007E-2</v>
      </c>
      <c r="Z34">
        <v>7.1999999999999995E-2</v>
      </c>
      <c r="AA34">
        <v>7.0999999999999994E-2</v>
      </c>
      <c r="AD34">
        <v>5.0999999999999997E-2</v>
      </c>
      <c r="AE34">
        <v>5.2999999999999999E-2</v>
      </c>
      <c r="AF34">
        <v>5.5E-2</v>
      </c>
      <c r="AG34">
        <v>5.3999999999999999E-2</v>
      </c>
      <c r="AH34">
        <v>5.3999999999999999E-2</v>
      </c>
      <c r="AK34">
        <v>5.1999999999999998E-2</v>
      </c>
      <c r="AL34">
        <v>4.9000000000000002E-2</v>
      </c>
      <c r="AM34">
        <v>0.05</v>
      </c>
      <c r="AN34">
        <v>5.1999999999999998E-2</v>
      </c>
      <c r="AO34">
        <v>4.9000000000000002E-2</v>
      </c>
    </row>
    <row r="35" spans="1:41" hidden="1">
      <c r="A35">
        <v>33</v>
      </c>
      <c r="B35">
        <v>7.3999999999999996E-2</v>
      </c>
      <c r="C35" s="1">
        <v>7.2000000000000002E-5</v>
      </c>
      <c r="D35" s="1">
        <v>6.9999999999999994E-5</v>
      </c>
      <c r="E35" s="1">
        <v>7.1000000000000005E-5</v>
      </c>
      <c r="F35" s="1">
        <v>6.8999999999999997E-5</v>
      </c>
      <c r="I35">
        <v>9.0999999999999998E-2</v>
      </c>
      <c r="J35" s="1">
        <v>8.2000000000000001E-5</v>
      </c>
      <c r="K35" s="1">
        <v>7.8999999999999996E-5</v>
      </c>
      <c r="L35" s="1">
        <v>7.7999999999999999E-5</v>
      </c>
      <c r="M35" s="1">
        <v>7.7000000000000001E-5</v>
      </c>
      <c r="P35">
        <v>5.8000000000000003E-2</v>
      </c>
      <c r="Q35" s="1">
        <v>6.2000000000000003E-5</v>
      </c>
      <c r="R35" s="1">
        <v>5.8999999999999998E-5</v>
      </c>
      <c r="S35" s="1">
        <v>5.8999999999999998E-5</v>
      </c>
      <c r="T35" s="1">
        <v>5.8E-5</v>
      </c>
      <c r="U35" s="1"/>
      <c r="W35">
        <v>7.1999999999999995E-2</v>
      </c>
      <c r="X35">
        <v>6.9000000000000006E-2</v>
      </c>
      <c r="Y35">
        <v>0.17399999999999999</v>
      </c>
      <c r="Z35">
        <v>9.5000000000000001E-2</v>
      </c>
      <c r="AA35">
        <v>7.0999999999999994E-2</v>
      </c>
      <c r="AD35">
        <v>5.5E-2</v>
      </c>
      <c r="AE35">
        <v>0.13100000000000001</v>
      </c>
      <c r="AF35">
        <v>11.819000000000001</v>
      </c>
      <c r="AG35">
        <v>0.40100000000000002</v>
      </c>
      <c r="AH35">
        <v>5.5E-2</v>
      </c>
      <c r="AK35">
        <v>5.0999999999999997E-2</v>
      </c>
      <c r="AL35">
        <v>4.9000000000000002E-2</v>
      </c>
      <c r="AM35">
        <v>4.9000000000000002E-2</v>
      </c>
      <c r="AN35">
        <v>5.0999999999999997E-2</v>
      </c>
      <c r="AO35">
        <v>0.05</v>
      </c>
    </row>
    <row r="36" spans="1:41" hidden="1">
      <c r="A36">
        <v>34</v>
      </c>
      <c r="B36">
        <v>7.2999999999999995E-2</v>
      </c>
      <c r="C36" s="1">
        <v>7.2999999999999999E-5</v>
      </c>
      <c r="D36">
        <v>8.1740000000000007E-3</v>
      </c>
      <c r="E36" s="1">
        <v>6.2000000000000003E-5</v>
      </c>
      <c r="F36" s="1">
        <v>8.3999999999999995E-5</v>
      </c>
      <c r="I36">
        <v>8.1000000000000003E-2</v>
      </c>
      <c r="J36">
        <v>3.7199999999999999E-4</v>
      </c>
      <c r="K36">
        <v>5.62E-4</v>
      </c>
      <c r="L36" s="1">
        <v>7.2000000000000002E-5</v>
      </c>
      <c r="M36">
        <v>8.2030000000000002E-3</v>
      </c>
      <c r="P36">
        <v>6.2E-2</v>
      </c>
      <c r="Q36" s="1">
        <v>6.2000000000000003E-5</v>
      </c>
      <c r="R36" s="1">
        <v>5.8999999999999998E-5</v>
      </c>
      <c r="S36" s="1">
        <v>5.8999999999999998E-5</v>
      </c>
      <c r="T36" s="1">
        <v>5.8999999999999998E-5</v>
      </c>
      <c r="U36" s="1"/>
      <c r="W36">
        <v>7.1999999999999995E-2</v>
      </c>
      <c r="X36">
        <v>7.0000000000000007E-2</v>
      </c>
      <c r="Y36">
        <v>7.0999999999999994E-2</v>
      </c>
      <c r="Z36">
        <v>7.0999999999999994E-2</v>
      </c>
      <c r="AA36">
        <v>7.0000000000000007E-2</v>
      </c>
      <c r="AD36">
        <v>5.2999999999999999E-2</v>
      </c>
      <c r="AE36">
        <v>5.5E-2</v>
      </c>
      <c r="AF36">
        <v>5.3999999999999999E-2</v>
      </c>
      <c r="AG36">
        <v>5.2999999999999999E-2</v>
      </c>
      <c r="AH36">
        <v>5.6000000000000001E-2</v>
      </c>
      <c r="AK36">
        <v>5.0999999999999997E-2</v>
      </c>
      <c r="AL36">
        <v>4.9000000000000002E-2</v>
      </c>
      <c r="AM36">
        <v>0.156</v>
      </c>
      <c r="AN36">
        <v>5.7000000000000002E-2</v>
      </c>
      <c r="AO36">
        <v>5.8999999999999997E-2</v>
      </c>
    </row>
    <row r="37" spans="1:41" hidden="1">
      <c r="A37">
        <v>35</v>
      </c>
      <c r="B37">
        <v>8.8999999999999996E-2</v>
      </c>
      <c r="C37" s="1">
        <v>9.2E-5</v>
      </c>
      <c r="D37" s="1">
        <v>8.6000000000000003E-5</v>
      </c>
      <c r="E37" s="1">
        <v>5.7000000000000003E-5</v>
      </c>
      <c r="F37" s="1">
        <v>5.5999999999999999E-5</v>
      </c>
      <c r="I37">
        <v>0.128</v>
      </c>
      <c r="J37">
        <v>1.21E-4</v>
      </c>
      <c r="K37">
        <v>1.08E-4</v>
      </c>
      <c r="L37">
        <v>1.1400000000000001E-4</v>
      </c>
      <c r="M37">
        <v>1.0399999999999999E-4</v>
      </c>
      <c r="P37">
        <v>6.2E-2</v>
      </c>
      <c r="Q37" s="1">
        <v>5.5999999999999999E-5</v>
      </c>
      <c r="R37" s="1">
        <v>6.0999999999999999E-5</v>
      </c>
      <c r="S37" s="1">
        <v>5.5000000000000002E-5</v>
      </c>
      <c r="T37" s="1">
        <v>5.5000000000000002E-5</v>
      </c>
      <c r="U37" s="1"/>
      <c r="W37">
        <v>7.2999999999999995E-2</v>
      </c>
      <c r="X37">
        <v>1.6970000000000001</v>
      </c>
      <c r="Y37">
        <v>6.7000000000000004E-2</v>
      </c>
      <c r="Z37">
        <v>8.7799999999999994</v>
      </c>
      <c r="AA37">
        <v>9.2999999999999999E-2</v>
      </c>
      <c r="AD37">
        <v>0.06</v>
      </c>
      <c r="AE37">
        <v>5.0999999999999997E-2</v>
      </c>
      <c r="AF37">
        <v>5.8000000000000003E-2</v>
      </c>
      <c r="AG37">
        <v>5.5E-2</v>
      </c>
      <c r="AH37">
        <v>5.5E-2</v>
      </c>
      <c r="AK37">
        <v>5.7000000000000002E-2</v>
      </c>
      <c r="AL37">
        <v>5.5E-2</v>
      </c>
      <c r="AM37">
        <v>5.8000000000000003E-2</v>
      </c>
      <c r="AN37">
        <v>5.8999999999999997E-2</v>
      </c>
      <c r="AO37">
        <v>5.5E-2</v>
      </c>
    </row>
    <row r="38" spans="1:41" hidden="1">
      <c r="A38">
        <v>36</v>
      </c>
      <c r="B38">
        <v>0.246</v>
      </c>
      <c r="C38">
        <v>6.6399999999999999E-4</v>
      </c>
      <c r="D38" s="1">
        <v>5.8999999999999998E-5</v>
      </c>
      <c r="E38">
        <v>5.5690000000000002E-3</v>
      </c>
      <c r="F38" s="1">
        <v>9.0000000000000006E-5</v>
      </c>
      <c r="I38">
        <v>0.112</v>
      </c>
      <c r="J38">
        <v>1.34E-4</v>
      </c>
      <c r="K38">
        <v>6.6799999999999997E-4</v>
      </c>
      <c r="L38">
        <v>1.17E-4</v>
      </c>
      <c r="M38" s="1">
        <v>9.1000000000000003E-5</v>
      </c>
      <c r="P38">
        <v>6.4000000000000001E-2</v>
      </c>
      <c r="Q38" s="1">
        <v>6.2000000000000003E-5</v>
      </c>
      <c r="R38" s="1">
        <v>6.0999999999999999E-5</v>
      </c>
      <c r="S38" s="1">
        <v>6.2000000000000003E-5</v>
      </c>
      <c r="T38" s="1">
        <v>5.8999999999999998E-5</v>
      </c>
      <c r="U38" s="1"/>
      <c r="W38">
        <v>4.6020000000000003</v>
      </c>
      <c r="X38">
        <v>7.0000000000000007E-2</v>
      </c>
      <c r="Y38">
        <v>6.8000000000000005E-2</v>
      </c>
      <c r="Z38">
        <v>6.9000000000000006E-2</v>
      </c>
      <c r="AA38">
        <v>5.0999999999999997E-2</v>
      </c>
      <c r="AD38">
        <v>5.6000000000000001E-2</v>
      </c>
      <c r="AE38">
        <v>0.05</v>
      </c>
      <c r="AF38">
        <v>0.05</v>
      </c>
      <c r="AG38">
        <v>0.05</v>
      </c>
      <c r="AH38">
        <v>0.157</v>
      </c>
      <c r="AK38">
        <v>5.1999999999999998E-2</v>
      </c>
      <c r="AL38">
        <v>0.26</v>
      </c>
      <c r="AM38">
        <v>5.0999999999999997E-2</v>
      </c>
      <c r="AN38">
        <v>0.05</v>
      </c>
      <c r="AO38">
        <v>5.1999999999999998E-2</v>
      </c>
    </row>
    <row r="39" spans="1:41" hidden="1">
      <c r="A39">
        <v>37</v>
      </c>
      <c r="B39">
        <v>0.09</v>
      </c>
      <c r="C39" s="1">
        <v>8.5000000000000006E-5</v>
      </c>
      <c r="D39" s="1">
        <v>9.0000000000000006E-5</v>
      </c>
      <c r="E39" s="1">
        <v>9.7E-5</v>
      </c>
      <c r="F39" s="1">
        <v>6.0000000000000002E-5</v>
      </c>
      <c r="I39">
        <v>9.0999999999999998E-2</v>
      </c>
      <c r="J39">
        <v>3.9599999999999998E-4</v>
      </c>
      <c r="K39" s="1">
        <v>8.0000000000000007E-5</v>
      </c>
      <c r="L39" s="1">
        <v>7.7999999999999999E-5</v>
      </c>
      <c r="M39" s="1">
        <v>7.7999999999999999E-5</v>
      </c>
      <c r="P39">
        <v>6.2E-2</v>
      </c>
      <c r="Q39" s="1">
        <v>6.2000000000000003E-5</v>
      </c>
      <c r="R39" s="1">
        <v>5.8999999999999998E-5</v>
      </c>
      <c r="S39" s="1">
        <v>5.3999999999999998E-5</v>
      </c>
      <c r="T39" s="1">
        <v>5.5000000000000002E-5</v>
      </c>
      <c r="U39" s="1"/>
      <c r="W39">
        <v>5.0999999999999997E-2</v>
      </c>
      <c r="X39">
        <v>5.0999999999999997E-2</v>
      </c>
      <c r="Y39">
        <v>6.9000000000000006E-2</v>
      </c>
      <c r="Z39">
        <v>6.9000000000000006E-2</v>
      </c>
      <c r="AA39">
        <v>5.0999999999999997E-2</v>
      </c>
      <c r="AD39">
        <v>7.5999999999999998E-2</v>
      </c>
      <c r="AE39">
        <v>5.1999999999999998E-2</v>
      </c>
      <c r="AF39">
        <v>5.0999999999999997E-2</v>
      </c>
      <c r="AG39">
        <v>5.8000000000000003E-2</v>
      </c>
      <c r="AH39">
        <v>5.5E-2</v>
      </c>
      <c r="AK39">
        <v>5.0999999999999997E-2</v>
      </c>
      <c r="AL39">
        <v>5.7000000000000002E-2</v>
      </c>
      <c r="AM39">
        <v>0.05</v>
      </c>
      <c r="AN39">
        <v>5.0999999999999997E-2</v>
      </c>
      <c r="AO39">
        <v>0.13800000000000001</v>
      </c>
    </row>
    <row r="40" spans="1:41" hidden="1">
      <c r="A40">
        <v>38</v>
      </c>
      <c r="B40">
        <v>0.06</v>
      </c>
      <c r="C40" s="1">
        <v>5.8999999999999998E-5</v>
      </c>
      <c r="D40" s="1">
        <v>5.5999999999999999E-5</v>
      </c>
      <c r="E40" s="1">
        <v>5.5000000000000002E-5</v>
      </c>
      <c r="F40" s="1">
        <v>5.3999999999999998E-5</v>
      </c>
      <c r="I40">
        <v>8.2000000000000003E-2</v>
      </c>
      <c r="J40">
        <v>3.8999999999999999E-4</v>
      </c>
      <c r="K40" s="1">
        <v>8.1000000000000004E-5</v>
      </c>
      <c r="L40" s="1">
        <v>7.8999999999999996E-5</v>
      </c>
      <c r="M40" s="1">
        <v>7.7999999999999999E-5</v>
      </c>
      <c r="P40">
        <v>5.7000000000000002E-2</v>
      </c>
      <c r="Q40">
        <v>6.5200000000000002E-4</v>
      </c>
      <c r="R40" s="1">
        <v>5.7000000000000003E-5</v>
      </c>
      <c r="S40" s="1">
        <v>5.5999999999999999E-5</v>
      </c>
      <c r="T40" s="1">
        <v>9.7999999999999997E-5</v>
      </c>
      <c r="U40" s="1"/>
      <c r="W40">
        <v>0.129</v>
      </c>
      <c r="X40">
        <v>5.6000000000000001E-2</v>
      </c>
      <c r="Y40">
        <v>5.6000000000000001E-2</v>
      </c>
      <c r="Z40">
        <v>5.5E-2</v>
      </c>
      <c r="AA40">
        <v>5.0999999999999997E-2</v>
      </c>
      <c r="AD40">
        <v>5.5E-2</v>
      </c>
      <c r="AE40">
        <v>5.5E-2</v>
      </c>
      <c r="AF40">
        <v>0.05</v>
      </c>
      <c r="AG40">
        <v>0.17499999999999999</v>
      </c>
      <c r="AH40">
        <v>5.3999999999999999E-2</v>
      </c>
      <c r="AK40">
        <v>5.6000000000000001E-2</v>
      </c>
      <c r="AL40">
        <v>5.0999999999999997E-2</v>
      </c>
      <c r="AM40">
        <v>5.0999999999999997E-2</v>
      </c>
      <c r="AN40">
        <v>0.05</v>
      </c>
      <c r="AO40">
        <v>0.05</v>
      </c>
    </row>
    <row r="41" spans="1:41" hidden="1">
      <c r="A41">
        <v>39</v>
      </c>
      <c r="B41">
        <v>5.8999999999999997E-2</v>
      </c>
      <c r="C41" s="1">
        <v>5.8E-5</v>
      </c>
      <c r="D41" s="1">
        <v>5.7000000000000003E-5</v>
      </c>
      <c r="E41" s="1">
        <v>5.5000000000000002E-5</v>
      </c>
      <c r="F41" s="1">
        <v>5.3999999999999998E-5</v>
      </c>
      <c r="I41">
        <v>8.4000000000000005E-2</v>
      </c>
      <c r="J41" s="1">
        <v>8.1000000000000004E-5</v>
      </c>
      <c r="K41" s="1">
        <v>7.7999999999999999E-5</v>
      </c>
      <c r="L41" s="1">
        <v>7.8999999999999996E-5</v>
      </c>
      <c r="M41" s="1">
        <v>7.8999999999999996E-5</v>
      </c>
      <c r="P41">
        <v>8.4000000000000005E-2</v>
      </c>
      <c r="Q41">
        <v>1.7699999999999999E-4</v>
      </c>
      <c r="R41" s="1">
        <v>6.3E-5</v>
      </c>
      <c r="S41" s="1">
        <v>6.2000000000000003E-5</v>
      </c>
      <c r="T41" s="1">
        <v>6.0999999999999999E-5</v>
      </c>
      <c r="U41" s="1"/>
      <c r="W41">
        <v>5.0999999999999997E-2</v>
      </c>
      <c r="X41">
        <v>0.05</v>
      </c>
      <c r="Y41">
        <v>0.217</v>
      </c>
      <c r="Z41">
        <v>5.2999999999999999E-2</v>
      </c>
      <c r="AA41">
        <v>5.1999999999999998E-2</v>
      </c>
      <c r="AD41">
        <v>5.1999999999999998E-2</v>
      </c>
      <c r="AE41">
        <v>4.9000000000000002E-2</v>
      </c>
      <c r="AF41">
        <v>0.05</v>
      </c>
      <c r="AG41">
        <v>4.9000000000000002E-2</v>
      </c>
      <c r="AH41">
        <v>0.05</v>
      </c>
      <c r="AK41">
        <v>5.2999999999999999E-2</v>
      </c>
      <c r="AL41">
        <v>0.05</v>
      </c>
      <c r="AM41">
        <v>5.0999999999999997E-2</v>
      </c>
      <c r="AN41">
        <v>5.0999999999999997E-2</v>
      </c>
      <c r="AO41">
        <v>0.05</v>
      </c>
    </row>
    <row r="42" spans="1:41" hidden="1">
      <c r="A42">
        <v>40</v>
      </c>
      <c r="B42">
        <v>5.8000000000000003E-2</v>
      </c>
      <c r="C42" s="1">
        <v>5.8E-5</v>
      </c>
      <c r="D42" s="1">
        <v>5.5000000000000002E-5</v>
      </c>
      <c r="E42" s="1">
        <v>5.5000000000000002E-5</v>
      </c>
      <c r="F42" s="1">
        <v>5.5000000000000002E-5</v>
      </c>
      <c r="I42">
        <v>0.42699999999999999</v>
      </c>
      <c r="J42" s="1">
        <v>8.3999999999999995E-5</v>
      </c>
      <c r="K42" s="1">
        <v>7.8999999999999996E-5</v>
      </c>
      <c r="L42" s="1">
        <v>7.8999999999999996E-5</v>
      </c>
      <c r="M42">
        <v>4.17E-4</v>
      </c>
      <c r="P42">
        <v>5.8000000000000003E-2</v>
      </c>
      <c r="Q42" s="1">
        <v>5.7000000000000003E-5</v>
      </c>
      <c r="R42" s="1">
        <v>5.5999999999999999E-5</v>
      </c>
      <c r="S42" s="1">
        <v>5.5000000000000002E-5</v>
      </c>
      <c r="T42" s="1">
        <v>5.5000000000000002E-5</v>
      </c>
      <c r="U42" s="1"/>
      <c r="W42">
        <v>5.0999999999999997E-2</v>
      </c>
      <c r="X42">
        <v>4.9000000000000002E-2</v>
      </c>
      <c r="Y42">
        <v>0.13700000000000001</v>
      </c>
      <c r="Z42">
        <v>5.0999999999999997E-2</v>
      </c>
      <c r="AA42">
        <v>5.0999999999999997E-2</v>
      </c>
      <c r="AD42">
        <v>5.0999999999999997E-2</v>
      </c>
      <c r="AE42">
        <v>0.17100000000000001</v>
      </c>
      <c r="AF42">
        <v>5.0999999999999997E-2</v>
      </c>
      <c r="AG42">
        <v>5.0999999999999997E-2</v>
      </c>
      <c r="AH42">
        <v>5.0999999999999997E-2</v>
      </c>
      <c r="AK42">
        <v>7.3999999999999996E-2</v>
      </c>
      <c r="AL42">
        <v>0.13900000000000001</v>
      </c>
      <c r="AM42">
        <v>5.0999999999999997E-2</v>
      </c>
      <c r="AN42">
        <v>0.05</v>
      </c>
      <c r="AO42">
        <v>9.5109999999999992</v>
      </c>
    </row>
    <row r="43" spans="1:41" hidden="1">
      <c r="A43">
        <v>41</v>
      </c>
      <c r="B43">
        <v>5.8000000000000003E-2</v>
      </c>
      <c r="C43" s="1">
        <v>6.0000000000000002E-5</v>
      </c>
      <c r="D43" s="1">
        <v>5.7000000000000003E-5</v>
      </c>
      <c r="E43" s="1">
        <v>5.5000000000000002E-5</v>
      </c>
      <c r="F43" s="1">
        <v>5.5000000000000002E-5</v>
      </c>
      <c r="I43">
        <v>8.3000000000000004E-2</v>
      </c>
      <c r="J43">
        <v>5.0850000000000001E-3</v>
      </c>
      <c r="K43" s="1">
        <v>8.7999999999999998E-5</v>
      </c>
      <c r="L43" s="1">
        <v>8.6000000000000003E-5</v>
      </c>
      <c r="M43" s="1">
        <v>7.8999999999999996E-5</v>
      </c>
      <c r="P43">
        <v>9.9269999999999996</v>
      </c>
      <c r="Q43">
        <v>5.7749999999999998E-3</v>
      </c>
      <c r="R43" s="1">
        <v>6.2000000000000003E-5</v>
      </c>
      <c r="S43" s="1">
        <v>5.7000000000000003E-5</v>
      </c>
      <c r="T43" s="1">
        <v>5.5999999999999999E-5</v>
      </c>
      <c r="U43" s="1"/>
      <c r="W43">
        <v>0.13400000000000001</v>
      </c>
      <c r="X43">
        <v>5.0999999999999997E-2</v>
      </c>
      <c r="Y43">
        <v>5.1999999999999998E-2</v>
      </c>
      <c r="Z43">
        <v>0.05</v>
      </c>
      <c r="AA43">
        <v>0.05</v>
      </c>
      <c r="AD43">
        <v>5.0999999999999997E-2</v>
      </c>
      <c r="AE43">
        <v>0.05</v>
      </c>
      <c r="AF43">
        <v>0.05</v>
      </c>
      <c r="AG43">
        <v>0.05</v>
      </c>
      <c r="AH43">
        <v>0.05</v>
      </c>
      <c r="AK43">
        <v>0.61199999999999999</v>
      </c>
      <c r="AL43">
        <v>2.6480000000000001</v>
      </c>
      <c r="AM43">
        <v>5.3999999999999999E-2</v>
      </c>
      <c r="AN43">
        <v>5.0999999999999997E-2</v>
      </c>
      <c r="AO43">
        <v>2.4510000000000001</v>
      </c>
    </row>
    <row r="44" spans="1:41" hidden="1">
      <c r="A44">
        <v>42</v>
      </c>
      <c r="B44">
        <v>5.7000000000000002E-2</v>
      </c>
      <c r="C44" s="1">
        <v>5.7000000000000003E-5</v>
      </c>
      <c r="D44" s="1">
        <v>5.5000000000000002E-5</v>
      </c>
      <c r="E44" s="1">
        <v>5.5000000000000002E-5</v>
      </c>
      <c r="F44" s="1">
        <v>5.5000000000000002E-5</v>
      </c>
      <c r="I44">
        <v>8.7999999999999995E-2</v>
      </c>
      <c r="J44" s="1">
        <v>8.0000000000000007E-5</v>
      </c>
      <c r="K44" s="1">
        <v>8.2999999999999998E-5</v>
      </c>
      <c r="L44" s="1">
        <v>7.7000000000000001E-5</v>
      </c>
      <c r="M44" s="1">
        <v>8.7000000000000001E-5</v>
      </c>
      <c r="P44">
        <v>8.1000000000000003E-2</v>
      </c>
      <c r="Q44" s="1">
        <v>6.0999999999999999E-5</v>
      </c>
      <c r="R44" s="1">
        <v>5.5000000000000002E-5</v>
      </c>
      <c r="S44">
        <v>1.5699999999999999E-4</v>
      </c>
      <c r="T44" s="1">
        <v>5.5999999999999999E-5</v>
      </c>
      <c r="U44" s="1"/>
      <c r="W44">
        <v>5.2999999999999999E-2</v>
      </c>
      <c r="X44">
        <v>4.8000000000000001E-2</v>
      </c>
      <c r="Y44">
        <v>4.9000000000000002E-2</v>
      </c>
      <c r="Z44">
        <v>0.05</v>
      </c>
      <c r="AA44">
        <v>0.13400000000000001</v>
      </c>
      <c r="AD44">
        <v>0.191</v>
      </c>
      <c r="AE44">
        <v>5.8000000000000003E-2</v>
      </c>
      <c r="AF44">
        <v>0.182</v>
      </c>
      <c r="AG44">
        <v>5.2999999999999999E-2</v>
      </c>
      <c r="AH44">
        <v>5.0999999999999997E-2</v>
      </c>
      <c r="AK44">
        <v>3.8570000000000002</v>
      </c>
      <c r="AL44">
        <v>5.1999999999999998E-2</v>
      </c>
      <c r="AM44">
        <v>0.16</v>
      </c>
      <c r="AN44">
        <v>5.1999999999999998E-2</v>
      </c>
      <c r="AO44">
        <v>5.1999999999999998E-2</v>
      </c>
    </row>
    <row r="45" spans="1:41" hidden="1">
      <c r="A45">
        <v>43</v>
      </c>
      <c r="B45">
        <v>5.8999999999999997E-2</v>
      </c>
      <c r="C45" s="1">
        <v>5.7000000000000003E-5</v>
      </c>
      <c r="D45" s="1">
        <v>5.7000000000000003E-5</v>
      </c>
      <c r="E45" s="1">
        <v>5.3999999999999998E-5</v>
      </c>
      <c r="F45" s="1">
        <v>5.3999999999999998E-5</v>
      </c>
      <c r="I45">
        <v>9.0999999999999998E-2</v>
      </c>
      <c r="J45" s="1">
        <v>8.2000000000000001E-5</v>
      </c>
      <c r="K45" s="1">
        <v>7.8999999999999996E-5</v>
      </c>
      <c r="L45">
        <v>1.3300000000000001E-4</v>
      </c>
      <c r="M45" s="1">
        <v>7.8999999999999996E-5</v>
      </c>
      <c r="P45">
        <v>9.5719999999999992</v>
      </c>
      <c r="Q45">
        <v>1.1900000000000001E-4</v>
      </c>
      <c r="R45">
        <v>1.13E-4</v>
      </c>
      <c r="S45">
        <v>1.05E-4</v>
      </c>
      <c r="T45">
        <v>1.02E-4</v>
      </c>
      <c r="W45">
        <v>5.1999999999999998E-2</v>
      </c>
      <c r="X45">
        <v>4.9000000000000002E-2</v>
      </c>
      <c r="Y45">
        <v>0.05</v>
      </c>
      <c r="Z45">
        <v>0.05</v>
      </c>
      <c r="AA45">
        <v>5.0999999999999997E-2</v>
      </c>
      <c r="AD45">
        <v>5.0999999999999997E-2</v>
      </c>
      <c r="AE45">
        <v>4.9000000000000002E-2</v>
      </c>
      <c r="AF45">
        <v>0.05</v>
      </c>
      <c r="AG45">
        <v>5.3999999999999999E-2</v>
      </c>
      <c r="AH45">
        <v>0.05</v>
      </c>
      <c r="AK45">
        <v>5.1999999999999998E-2</v>
      </c>
      <c r="AL45">
        <v>0.05</v>
      </c>
      <c r="AM45">
        <v>4.9000000000000002E-2</v>
      </c>
      <c r="AN45">
        <v>4.9000000000000002E-2</v>
      </c>
      <c r="AO45">
        <v>5.6000000000000001E-2</v>
      </c>
    </row>
    <row r="46" spans="1:41" hidden="1">
      <c r="A46">
        <v>44</v>
      </c>
      <c r="B46">
        <v>5.7000000000000002E-2</v>
      </c>
      <c r="C46" s="1">
        <v>5.7000000000000003E-5</v>
      </c>
      <c r="D46" s="1">
        <v>5.5999999999999999E-5</v>
      </c>
      <c r="E46">
        <v>3.1300000000000002E-4</v>
      </c>
      <c r="F46">
        <v>1.5100000000000001E-4</v>
      </c>
      <c r="I46">
        <v>0.09</v>
      </c>
      <c r="J46" s="1">
        <v>8.2999999999999998E-5</v>
      </c>
      <c r="K46" s="1">
        <v>7.8999999999999996E-5</v>
      </c>
      <c r="L46">
        <v>2.23E-4</v>
      </c>
      <c r="M46" s="1">
        <v>8.2000000000000001E-5</v>
      </c>
      <c r="P46">
        <v>0.11600000000000001</v>
      </c>
      <c r="Q46">
        <v>1.13E-4</v>
      </c>
      <c r="R46" s="1">
        <v>8.7999999999999998E-5</v>
      </c>
      <c r="S46">
        <v>2.5999999999999998E-4</v>
      </c>
      <c r="T46" s="1">
        <v>9.2E-5</v>
      </c>
      <c r="U46" s="1"/>
      <c r="W46">
        <v>5.0999999999999997E-2</v>
      </c>
      <c r="X46">
        <v>5.5E-2</v>
      </c>
      <c r="Y46">
        <v>1.236</v>
      </c>
      <c r="Z46">
        <v>5.2999999999999999E-2</v>
      </c>
      <c r="AA46">
        <v>5.8000000000000003E-2</v>
      </c>
      <c r="AD46">
        <v>5.1999999999999998E-2</v>
      </c>
      <c r="AE46">
        <v>4.8000000000000001E-2</v>
      </c>
      <c r="AF46">
        <v>0.05</v>
      </c>
      <c r="AG46">
        <v>4.9000000000000002E-2</v>
      </c>
      <c r="AH46">
        <v>0.05</v>
      </c>
      <c r="AK46">
        <v>5.1999999999999998E-2</v>
      </c>
      <c r="AL46">
        <v>0.05</v>
      </c>
      <c r="AM46">
        <v>0.05</v>
      </c>
      <c r="AN46">
        <v>0.05</v>
      </c>
      <c r="AO46">
        <v>0.05</v>
      </c>
    </row>
    <row r="47" spans="1:41" hidden="1">
      <c r="A47">
        <v>45</v>
      </c>
      <c r="B47">
        <v>0.06</v>
      </c>
      <c r="C47" s="1">
        <v>6.3E-5</v>
      </c>
      <c r="D47" s="1">
        <v>6.0000000000000002E-5</v>
      </c>
      <c r="E47" s="1">
        <v>6.0999999999999999E-5</v>
      </c>
      <c r="F47" s="1">
        <v>6.0999999999999999E-5</v>
      </c>
      <c r="I47">
        <v>8.2000000000000003E-2</v>
      </c>
      <c r="J47" s="1">
        <v>7.3999999999999996E-5</v>
      </c>
      <c r="K47" s="1">
        <v>7.6000000000000004E-5</v>
      </c>
      <c r="L47" s="1">
        <v>6.9999999999999994E-5</v>
      </c>
      <c r="M47" s="1">
        <v>7.6000000000000004E-5</v>
      </c>
      <c r="P47">
        <v>9.6000000000000002E-2</v>
      </c>
      <c r="Q47" s="1">
        <v>9.0000000000000006E-5</v>
      </c>
      <c r="R47" s="1">
        <v>8.1000000000000004E-5</v>
      </c>
      <c r="S47" s="1">
        <v>8.1000000000000004E-5</v>
      </c>
      <c r="T47" s="1">
        <v>7.7999999999999999E-5</v>
      </c>
      <c r="U47" s="1"/>
      <c r="W47">
        <v>5.7000000000000002E-2</v>
      </c>
      <c r="X47">
        <v>4.9000000000000002E-2</v>
      </c>
      <c r="Y47">
        <v>5.0999999999999997E-2</v>
      </c>
      <c r="Z47">
        <v>5.3999999999999999E-2</v>
      </c>
      <c r="AA47">
        <v>0.05</v>
      </c>
      <c r="AD47">
        <v>5.0999999999999997E-2</v>
      </c>
      <c r="AE47">
        <v>0.05</v>
      </c>
      <c r="AF47">
        <v>5.1999999999999998E-2</v>
      </c>
      <c r="AG47">
        <v>0.05</v>
      </c>
      <c r="AH47">
        <v>7.0999999999999994E-2</v>
      </c>
      <c r="AK47">
        <v>5.0999999999999997E-2</v>
      </c>
      <c r="AL47">
        <v>0.05</v>
      </c>
      <c r="AM47">
        <v>5.1999999999999998E-2</v>
      </c>
      <c r="AN47">
        <v>0.05</v>
      </c>
      <c r="AO47">
        <v>0.05</v>
      </c>
    </row>
    <row r="48" spans="1:41" hidden="1">
      <c r="A48">
        <v>46</v>
      </c>
      <c r="B48">
        <v>5.8999999999999997E-2</v>
      </c>
      <c r="C48" s="1">
        <v>6.0000000000000002E-5</v>
      </c>
      <c r="D48">
        <v>1.47E-4</v>
      </c>
      <c r="E48">
        <v>7.2709999999999997E-3</v>
      </c>
      <c r="F48">
        <v>5.2099999999999998E-4</v>
      </c>
      <c r="I48">
        <v>0.08</v>
      </c>
      <c r="J48" s="1">
        <v>7.7999999999999999E-5</v>
      </c>
      <c r="K48">
        <v>3.5199999999999999E-4</v>
      </c>
      <c r="L48" s="1">
        <v>7.2000000000000002E-5</v>
      </c>
      <c r="M48" s="1">
        <v>7.7000000000000001E-5</v>
      </c>
      <c r="P48">
        <v>8.2000000000000003E-2</v>
      </c>
      <c r="Q48" s="1">
        <v>8.2000000000000001E-5</v>
      </c>
      <c r="R48" s="1">
        <v>7.8999999999999996E-5</v>
      </c>
      <c r="S48" s="1">
        <v>7.8999999999999996E-5</v>
      </c>
      <c r="T48" s="1">
        <v>8.0000000000000007E-5</v>
      </c>
      <c r="U48" s="1"/>
      <c r="W48">
        <v>5.0999999999999997E-2</v>
      </c>
      <c r="X48">
        <v>1.6739999999999999</v>
      </c>
      <c r="Y48">
        <v>5.6000000000000001E-2</v>
      </c>
      <c r="Z48">
        <v>0.06</v>
      </c>
      <c r="AA48">
        <v>5.7000000000000002E-2</v>
      </c>
      <c r="AD48">
        <v>0.05</v>
      </c>
      <c r="AE48">
        <v>10.763</v>
      </c>
      <c r="AF48">
        <v>1.1910000000000001</v>
      </c>
      <c r="AG48">
        <v>5.6000000000000001E-2</v>
      </c>
      <c r="AH48">
        <v>7.4999999999999997E-2</v>
      </c>
      <c r="AK48">
        <v>5.0999999999999997E-2</v>
      </c>
      <c r="AL48">
        <v>4.9000000000000002E-2</v>
      </c>
      <c r="AM48">
        <v>0.05</v>
      </c>
      <c r="AN48">
        <v>0.05</v>
      </c>
      <c r="AO48">
        <v>4.9000000000000002E-2</v>
      </c>
    </row>
    <row r="49" spans="1:41" hidden="1">
      <c r="A49">
        <v>47</v>
      </c>
      <c r="B49">
        <v>6.3E-2</v>
      </c>
      <c r="C49" s="1">
        <v>5.8999999999999998E-5</v>
      </c>
      <c r="D49" s="1">
        <v>5.5000000000000002E-5</v>
      </c>
      <c r="E49" s="1">
        <v>5.5000000000000002E-5</v>
      </c>
      <c r="F49">
        <v>2.04E-4</v>
      </c>
      <c r="I49">
        <v>7.4999999999999997E-2</v>
      </c>
      <c r="J49" s="1">
        <v>8.0000000000000007E-5</v>
      </c>
      <c r="K49">
        <v>9.2199999999999997E-4</v>
      </c>
      <c r="L49" s="1">
        <v>6.6000000000000005E-5</v>
      </c>
      <c r="M49">
        <v>1E-4</v>
      </c>
      <c r="P49">
        <v>9.0999999999999998E-2</v>
      </c>
      <c r="Q49" s="1">
        <v>9.0000000000000006E-5</v>
      </c>
      <c r="R49" s="1">
        <v>8.6000000000000003E-5</v>
      </c>
      <c r="S49" s="1">
        <v>8.5000000000000006E-5</v>
      </c>
      <c r="T49" s="1">
        <v>8.0000000000000007E-5</v>
      </c>
      <c r="U49" s="1"/>
      <c r="W49">
        <v>5.6000000000000001E-2</v>
      </c>
      <c r="X49">
        <v>5.6000000000000001E-2</v>
      </c>
      <c r="Y49">
        <v>5.0999999999999997E-2</v>
      </c>
      <c r="Z49">
        <v>5.2999999999999999E-2</v>
      </c>
      <c r="AA49">
        <v>5.0999999999999997E-2</v>
      </c>
      <c r="AD49">
        <v>7.8E-2</v>
      </c>
      <c r="AE49">
        <v>0.11</v>
      </c>
      <c r="AF49">
        <v>5.5E-2</v>
      </c>
      <c r="AG49">
        <v>5.0999999999999997E-2</v>
      </c>
      <c r="AH49">
        <v>5.3999999999999999E-2</v>
      </c>
      <c r="AK49">
        <v>5.0999999999999997E-2</v>
      </c>
      <c r="AL49">
        <v>0.05</v>
      </c>
      <c r="AM49">
        <v>0.05</v>
      </c>
      <c r="AN49">
        <v>0.05</v>
      </c>
      <c r="AO49">
        <v>4.9000000000000002E-2</v>
      </c>
    </row>
    <row r="50" spans="1:41" hidden="1">
      <c r="A50">
        <v>48</v>
      </c>
      <c r="B50">
        <v>2.41</v>
      </c>
      <c r="C50">
        <v>1.7100000000000001E-4</v>
      </c>
      <c r="D50" s="1">
        <v>6.2000000000000003E-5</v>
      </c>
      <c r="E50" s="1">
        <v>5.7000000000000003E-5</v>
      </c>
      <c r="F50" s="1">
        <v>5.5000000000000002E-5</v>
      </c>
      <c r="I50">
        <v>0.188</v>
      </c>
      <c r="J50" s="1">
        <v>7.1000000000000005E-5</v>
      </c>
      <c r="K50" s="1">
        <v>6.7999999999999999E-5</v>
      </c>
      <c r="L50" s="1">
        <v>6.8999999999999997E-5</v>
      </c>
      <c r="M50" s="1">
        <v>7.1000000000000005E-5</v>
      </c>
      <c r="P50">
        <v>8.3000000000000004E-2</v>
      </c>
      <c r="Q50" s="1">
        <v>8.7999999999999998E-5</v>
      </c>
      <c r="R50">
        <v>5.3689999999999996E-3</v>
      </c>
      <c r="S50">
        <v>9.3099999999999997E-4</v>
      </c>
      <c r="T50">
        <v>1.44E-4</v>
      </c>
      <c r="W50">
        <v>10.164</v>
      </c>
      <c r="X50">
        <v>0.254</v>
      </c>
      <c r="Y50">
        <v>5.2999999999999999E-2</v>
      </c>
      <c r="Z50">
        <v>5.0999999999999997E-2</v>
      </c>
      <c r="AA50">
        <v>8.8999999999999996E-2</v>
      </c>
      <c r="AD50">
        <v>5.3999999999999999E-2</v>
      </c>
      <c r="AE50">
        <v>5.0999999999999997E-2</v>
      </c>
      <c r="AF50">
        <v>5.0999999999999997E-2</v>
      </c>
      <c r="AG50">
        <v>5.0999999999999997E-2</v>
      </c>
      <c r="AH50">
        <v>5.0999999999999997E-2</v>
      </c>
      <c r="AK50">
        <v>5.0999999999999997E-2</v>
      </c>
      <c r="AL50">
        <v>4.9000000000000002E-2</v>
      </c>
      <c r="AM50">
        <v>0.05</v>
      </c>
      <c r="AN50">
        <v>0.05</v>
      </c>
      <c r="AO50">
        <v>0.18099999999999999</v>
      </c>
    </row>
    <row r="51" spans="1:41" hidden="1">
      <c r="A51">
        <v>49</v>
      </c>
      <c r="B51">
        <v>5.8000000000000003E-2</v>
      </c>
      <c r="C51" s="1">
        <v>5.7000000000000003E-5</v>
      </c>
      <c r="D51">
        <v>9.01E-4</v>
      </c>
      <c r="E51" s="1">
        <v>5.7000000000000003E-5</v>
      </c>
      <c r="F51" s="1">
        <v>5.8999999999999998E-5</v>
      </c>
      <c r="I51">
        <v>6.6000000000000003E-2</v>
      </c>
      <c r="J51" s="1">
        <v>7.6000000000000004E-5</v>
      </c>
      <c r="K51" s="1">
        <v>6.8999999999999997E-5</v>
      </c>
      <c r="L51" s="1">
        <v>7.1000000000000005E-5</v>
      </c>
      <c r="M51">
        <v>5.8600000000000004E-4</v>
      </c>
      <c r="P51">
        <v>0.107</v>
      </c>
      <c r="Q51" s="1">
        <v>8.2000000000000001E-5</v>
      </c>
      <c r="R51" s="1">
        <v>7.1000000000000005E-5</v>
      </c>
      <c r="S51" s="1">
        <v>6.9999999999999994E-5</v>
      </c>
      <c r="T51">
        <v>4.9540000000000001E-3</v>
      </c>
      <c r="W51">
        <v>5.5E-2</v>
      </c>
      <c r="X51">
        <v>4.9000000000000002E-2</v>
      </c>
      <c r="Y51">
        <v>0.05</v>
      </c>
      <c r="Z51">
        <v>5.2999999999999999E-2</v>
      </c>
      <c r="AA51">
        <v>5.7000000000000002E-2</v>
      </c>
      <c r="AD51">
        <v>5.0999999999999997E-2</v>
      </c>
      <c r="AE51">
        <v>0.05</v>
      </c>
      <c r="AF51">
        <v>0.05</v>
      </c>
      <c r="AG51">
        <v>0.153</v>
      </c>
      <c r="AH51">
        <v>5.1999999999999998E-2</v>
      </c>
      <c r="AK51">
        <v>5.6000000000000001E-2</v>
      </c>
      <c r="AL51">
        <v>0.05</v>
      </c>
      <c r="AM51">
        <v>11.724</v>
      </c>
      <c r="AN51">
        <v>0.89300000000000002</v>
      </c>
      <c r="AO51">
        <v>9.7000000000000003E-2</v>
      </c>
    </row>
    <row r="52" spans="1:41" hidden="1">
      <c r="A52">
        <v>50</v>
      </c>
      <c r="B52">
        <v>0.154</v>
      </c>
      <c r="C52" s="1">
        <v>6.4999999999999994E-5</v>
      </c>
      <c r="D52" s="1">
        <v>5.5999999999999999E-5</v>
      </c>
      <c r="E52" s="1">
        <v>6.0999999999999999E-5</v>
      </c>
      <c r="F52" s="1">
        <v>5.3999999999999998E-5</v>
      </c>
      <c r="I52">
        <v>6.8000000000000005E-2</v>
      </c>
      <c r="J52" s="1">
        <v>7.2000000000000002E-5</v>
      </c>
      <c r="K52" s="1">
        <v>6.9999999999999994E-5</v>
      </c>
      <c r="L52" s="1">
        <v>7.2000000000000002E-5</v>
      </c>
      <c r="M52" s="1">
        <v>6.3999999999999997E-5</v>
      </c>
      <c r="P52">
        <v>7.2999999999999995E-2</v>
      </c>
      <c r="Q52">
        <v>2.32E-4</v>
      </c>
      <c r="R52" s="1">
        <v>7.1000000000000005E-5</v>
      </c>
      <c r="S52" s="1">
        <v>6.6000000000000005E-5</v>
      </c>
      <c r="T52" s="1">
        <v>6.3999999999999997E-5</v>
      </c>
      <c r="U52" s="1"/>
      <c r="W52">
        <v>5.8999999999999997E-2</v>
      </c>
      <c r="X52">
        <v>5.3999999999999999E-2</v>
      </c>
      <c r="Y52">
        <v>5.8000000000000003E-2</v>
      </c>
      <c r="Z52">
        <v>5.5E-2</v>
      </c>
      <c r="AA52">
        <v>5.5E-2</v>
      </c>
      <c r="AD52">
        <v>5.1999999999999998E-2</v>
      </c>
      <c r="AE52">
        <v>4.9000000000000002E-2</v>
      </c>
      <c r="AF52">
        <v>5.1999999999999998E-2</v>
      </c>
      <c r="AG52">
        <v>0.05</v>
      </c>
      <c r="AH52">
        <v>0.05</v>
      </c>
      <c r="AK52">
        <v>9.1999999999999998E-2</v>
      </c>
      <c r="AL52">
        <v>0.19</v>
      </c>
      <c r="AM52">
        <v>5.2999999999999999E-2</v>
      </c>
      <c r="AN52">
        <v>5.1999999999999998E-2</v>
      </c>
      <c r="AO52">
        <v>5.0999999999999997E-2</v>
      </c>
    </row>
    <row r="53" spans="1:41" hidden="1">
      <c r="A53">
        <v>51</v>
      </c>
      <c r="B53">
        <v>9.9000000000000005E-2</v>
      </c>
      <c r="C53">
        <v>2.1900000000000001E-4</v>
      </c>
      <c r="D53" s="1">
        <v>5.7000000000000003E-5</v>
      </c>
      <c r="E53" s="1">
        <v>5.5999999999999999E-5</v>
      </c>
      <c r="F53" s="1">
        <v>5.3999999999999998E-5</v>
      </c>
      <c r="I53">
        <v>6.6000000000000003E-2</v>
      </c>
      <c r="J53" s="1">
        <v>6.6000000000000005E-5</v>
      </c>
      <c r="K53">
        <v>7.2820000000000003E-3</v>
      </c>
      <c r="L53">
        <v>9.2299999999999999E-4</v>
      </c>
      <c r="M53" s="1">
        <v>9.0000000000000006E-5</v>
      </c>
      <c r="P53">
        <v>6.8000000000000005E-2</v>
      </c>
      <c r="Q53" s="1">
        <v>6.8999999999999997E-5</v>
      </c>
      <c r="R53" s="1">
        <v>6.3E-5</v>
      </c>
      <c r="S53" s="1">
        <v>6.3999999999999997E-5</v>
      </c>
      <c r="T53">
        <v>1.76E-4</v>
      </c>
      <c r="W53">
        <v>5.8999999999999997E-2</v>
      </c>
      <c r="X53">
        <v>5.3999999999999999E-2</v>
      </c>
      <c r="Y53">
        <v>0.16700000000000001</v>
      </c>
      <c r="Z53">
        <v>5.7000000000000002E-2</v>
      </c>
      <c r="AA53">
        <v>5.2999999999999999E-2</v>
      </c>
      <c r="AD53">
        <v>5.0999999999999997E-2</v>
      </c>
      <c r="AE53">
        <v>4.9000000000000002E-2</v>
      </c>
      <c r="AF53">
        <v>0.13700000000000001</v>
      </c>
      <c r="AG53">
        <v>0.05</v>
      </c>
      <c r="AH53">
        <v>4.9000000000000002E-2</v>
      </c>
      <c r="AK53">
        <v>5.6000000000000001E-2</v>
      </c>
      <c r="AL53">
        <v>7.2999999999999995E-2</v>
      </c>
      <c r="AM53">
        <v>5.1999999999999998E-2</v>
      </c>
      <c r="AN53">
        <v>0.13700000000000001</v>
      </c>
      <c r="AO53">
        <v>5.5E-2</v>
      </c>
    </row>
    <row r="54" spans="1:41" hidden="1">
      <c r="A54">
        <v>52</v>
      </c>
      <c r="B54">
        <v>5.8000000000000003E-2</v>
      </c>
      <c r="C54" s="1">
        <v>5.7000000000000003E-5</v>
      </c>
      <c r="D54" s="1">
        <v>5.5999999999999999E-5</v>
      </c>
      <c r="E54" s="1">
        <v>5.5000000000000002E-5</v>
      </c>
      <c r="F54" s="1">
        <v>5.3999999999999998E-5</v>
      </c>
      <c r="I54">
        <v>8.6999999999999994E-2</v>
      </c>
      <c r="J54" s="1">
        <v>9.0000000000000006E-5</v>
      </c>
      <c r="K54" s="1">
        <v>5.7000000000000003E-5</v>
      </c>
      <c r="L54" s="1">
        <v>7.7999999999999999E-5</v>
      </c>
      <c r="M54" s="1">
        <v>8.2999999999999998E-5</v>
      </c>
      <c r="P54">
        <v>6.7000000000000004E-2</v>
      </c>
      <c r="Q54" s="1">
        <v>8.7999999999999998E-5</v>
      </c>
      <c r="R54">
        <v>1.66E-4</v>
      </c>
      <c r="S54" s="1">
        <v>5.8999999999999998E-5</v>
      </c>
      <c r="T54" s="1">
        <v>6.7000000000000002E-5</v>
      </c>
      <c r="U54" s="1"/>
      <c r="W54">
        <v>0.104</v>
      </c>
      <c r="X54">
        <v>5.0999999999999997E-2</v>
      </c>
      <c r="Y54">
        <v>5.0999999999999997E-2</v>
      </c>
      <c r="Z54">
        <v>5.1999999999999998E-2</v>
      </c>
      <c r="AA54">
        <v>5.0999999999999997E-2</v>
      </c>
      <c r="AD54">
        <v>5.0999999999999997E-2</v>
      </c>
      <c r="AE54">
        <v>4.9000000000000002E-2</v>
      </c>
      <c r="AF54">
        <v>6.173</v>
      </c>
      <c r="AG54">
        <v>0.52800000000000002</v>
      </c>
      <c r="AH54">
        <v>6.0999999999999999E-2</v>
      </c>
      <c r="AK54">
        <v>0.06</v>
      </c>
      <c r="AL54">
        <v>5.0999999999999997E-2</v>
      </c>
      <c r="AM54">
        <v>6.2E-2</v>
      </c>
      <c r="AN54">
        <v>5.7000000000000002E-2</v>
      </c>
      <c r="AO54">
        <v>5.8000000000000003E-2</v>
      </c>
    </row>
    <row r="55" spans="1:41" hidden="1">
      <c r="A55">
        <v>53</v>
      </c>
      <c r="B55">
        <v>5.8000000000000003E-2</v>
      </c>
      <c r="C55">
        <v>1.1E-4</v>
      </c>
      <c r="D55">
        <v>1.3999999999999999E-4</v>
      </c>
      <c r="E55" s="1">
        <v>5.7000000000000003E-5</v>
      </c>
      <c r="F55" s="1">
        <v>8.8999999999999995E-5</v>
      </c>
      <c r="I55">
        <v>0.59799999999999998</v>
      </c>
      <c r="J55" s="1">
        <v>6.3E-5</v>
      </c>
      <c r="K55" s="1">
        <v>8.7000000000000001E-5</v>
      </c>
      <c r="L55" s="1">
        <v>8.6000000000000003E-5</v>
      </c>
      <c r="M55" s="1">
        <v>8.6000000000000003E-5</v>
      </c>
      <c r="P55">
        <v>0.08</v>
      </c>
      <c r="Q55">
        <v>2.5000000000000001E-4</v>
      </c>
      <c r="R55" s="1">
        <v>5.7000000000000003E-5</v>
      </c>
      <c r="S55" s="1">
        <v>6.0999999999999999E-5</v>
      </c>
      <c r="T55" s="1">
        <v>5.5000000000000002E-5</v>
      </c>
      <c r="U55" s="1"/>
      <c r="W55">
        <v>5.3999999999999999E-2</v>
      </c>
      <c r="X55">
        <v>0.05</v>
      </c>
      <c r="Y55">
        <v>0.05</v>
      </c>
      <c r="Z55">
        <v>5.0999999999999997E-2</v>
      </c>
      <c r="AA55">
        <v>4.9000000000000002E-2</v>
      </c>
      <c r="AD55">
        <v>5.8999999999999997E-2</v>
      </c>
      <c r="AE55">
        <v>5.5E-2</v>
      </c>
      <c r="AF55">
        <v>0.05</v>
      </c>
      <c r="AG55">
        <v>0.05</v>
      </c>
      <c r="AH55">
        <v>0.05</v>
      </c>
      <c r="AK55">
        <v>0.27200000000000002</v>
      </c>
      <c r="AL55">
        <v>5.3999999999999999E-2</v>
      </c>
      <c r="AM55">
        <v>5.6000000000000001E-2</v>
      </c>
      <c r="AN55">
        <v>5.0999999999999997E-2</v>
      </c>
      <c r="AO55">
        <v>5.0999999999999997E-2</v>
      </c>
    </row>
    <row r="56" spans="1:41" hidden="1">
      <c r="A56">
        <v>54</v>
      </c>
      <c r="B56">
        <v>0.66</v>
      </c>
      <c r="C56" s="1">
        <v>5.7000000000000003E-5</v>
      </c>
      <c r="D56" s="1">
        <v>5.5000000000000002E-5</v>
      </c>
      <c r="E56" s="1">
        <v>5.3999999999999998E-5</v>
      </c>
      <c r="F56" s="1">
        <v>5.5999999999999999E-5</v>
      </c>
      <c r="I56">
        <v>6.0999999999999999E-2</v>
      </c>
      <c r="J56" s="1">
        <v>8.6000000000000003E-5</v>
      </c>
      <c r="K56" s="1">
        <v>5.7000000000000003E-5</v>
      </c>
      <c r="L56" s="1">
        <v>7.7999999999999999E-5</v>
      </c>
      <c r="M56" s="1">
        <v>8.2000000000000001E-5</v>
      </c>
      <c r="P56">
        <v>6.2E-2</v>
      </c>
      <c r="Q56" s="1">
        <v>5.8E-5</v>
      </c>
      <c r="R56" s="1">
        <v>6.6000000000000005E-5</v>
      </c>
      <c r="S56" s="1">
        <v>6.0999999999999999E-5</v>
      </c>
      <c r="T56" s="1">
        <v>6.4999999999999994E-5</v>
      </c>
      <c r="U56" s="1"/>
      <c r="W56">
        <v>5.0999999999999997E-2</v>
      </c>
      <c r="X56">
        <v>0.05</v>
      </c>
      <c r="Y56">
        <v>0.05</v>
      </c>
      <c r="Z56">
        <v>0.05</v>
      </c>
      <c r="AA56">
        <v>5.1999999999999998E-2</v>
      </c>
      <c r="AD56">
        <v>5.6000000000000001E-2</v>
      </c>
      <c r="AE56">
        <v>4.9000000000000002E-2</v>
      </c>
      <c r="AF56">
        <v>3.2229999999999999</v>
      </c>
      <c r="AG56">
        <v>5.2999999999999999E-2</v>
      </c>
      <c r="AH56">
        <v>7.9000000000000001E-2</v>
      </c>
      <c r="AK56">
        <v>5.1999999999999998E-2</v>
      </c>
      <c r="AL56">
        <v>0.623</v>
      </c>
      <c r="AM56">
        <v>5.3999999999999999E-2</v>
      </c>
      <c r="AN56">
        <v>9.8000000000000004E-2</v>
      </c>
      <c r="AO56">
        <v>5.6000000000000001E-2</v>
      </c>
    </row>
    <row r="57" spans="1:41" hidden="1">
      <c r="A57">
        <v>55</v>
      </c>
      <c r="B57">
        <v>5.8000000000000003E-2</v>
      </c>
      <c r="C57">
        <v>2.2395000000000002E-2</v>
      </c>
      <c r="D57">
        <v>1.0629999999999999E-3</v>
      </c>
      <c r="E57" s="1">
        <v>5.7000000000000003E-5</v>
      </c>
      <c r="F57" s="1">
        <v>5.5999999999999999E-5</v>
      </c>
      <c r="I57">
        <v>8.1000000000000003E-2</v>
      </c>
      <c r="J57" s="1">
        <v>6.0000000000000002E-5</v>
      </c>
      <c r="K57" s="1">
        <v>5.5999999999999999E-5</v>
      </c>
      <c r="L57" s="1">
        <v>5.5999999999999999E-5</v>
      </c>
      <c r="M57" s="1">
        <v>5.3999999999999998E-5</v>
      </c>
      <c r="P57">
        <v>6.2E-2</v>
      </c>
      <c r="Q57" s="1">
        <v>6.6000000000000005E-5</v>
      </c>
      <c r="R57" s="1">
        <v>6.0999999999999999E-5</v>
      </c>
      <c r="S57" s="1">
        <v>6.2000000000000003E-5</v>
      </c>
      <c r="T57" s="1">
        <v>5.5000000000000002E-5</v>
      </c>
      <c r="U57" s="1"/>
      <c r="W57">
        <v>13.079000000000001</v>
      </c>
      <c r="X57">
        <v>0.441</v>
      </c>
      <c r="Y57">
        <v>6.7000000000000004E-2</v>
      </c>
      <c r="Z57">
        <v>6.4000000000000001E-2</v>
      </c>
      <c r="AA57">
        <v>0.06</v>
      </c>
      <c r="AD57">
        <v>5.2999999999999999E-2</v>
      </c>
      <c r="AE57">
        <v>0.05</v>
      </c>
      <c r="AF57">
        <v>4.0519999999999996</v>
      </c>
      <c r="AG57">
        <v>7.5999999999999998E-2</v>
      </c>
      <c r="AH57">
        <v>0.107</v>
      </c>
      <c r="AK57">
        <v>5.2999999999999999E-2</v>
      </c>
      <c r="AL57">
        <v>4.9000000000000002E-2</v>
      </c>
      <c r="AM57">
        <v>5.1999999999999998E-2</v>
      </c>
      <c r="AN57">
        <v>5.0999999999999997E-2</v>
      </c>
      <c r="AO57">
        <v>4.9000000000000002E-2</v>
      </c>
    </row>
    <row r="58" spans="1:41" hidden="1">
      <c r="A58">
        <v>56</v>
      </c>
      <c r="B58">
        <v>5.8000000000000003E-2</v>
      </c>
      <c r="C58" s="1">
        <v>5.7000000000000003E-5</v>
      </c>
      <c r="D58" s="1">
        <v>5.5000000000000002E-5</v>
      </c>
      <c r="E58" s="1">
        <v>5.5000000000000002E-5</v>
      </c>
      <c r="F58">
        <v>1.3300000000000001E-4</v>
      </c>
      <c r="I58">
        <v>5.1289999999999996</v>
      </c>
      <c r="J58">
        <v>3.0639999999999999E-3</v>
      </c>
      <c r="K58" s="1">
        <v>6.0000000000000002E-5</v>
      </c>
      <c r="L58" s="1">
        <v>5.8E-5</v>
      </c>
      <c r="M58" s="1">
        <v>5.7000000000000003E-5</v>
      </c>
      <c r="P58">
        <v>5.8999999999999997E-2</v>
      </c>
      <c r="Q58" s="1">
        <v>5.8E-5</v>
      </c>
      <c r="R58" s="1">
        <v>5.5000000000000002E-5</v>
      </c>
      <c r="S58" s="1">
        <v>5.5999999999999999E-5</v>
      </c>
      <c r="T58" s="1">
        <v>5.5000000000000002E-5</v>
      </c>
      <c r="U58" s="1"/>
      <c r="W58">
        <v>5.7000000000000002E-2</v>
      </c>
      <c r="X58">
        <v>0.05</v>
      </c>
      <c r="Y58">
        <v>5.0999999999999997E-2</v>
      </c>
      <c r="Z58">
        <v>0.125</v>
      </c>
      <c r="AA58">
        <v>5.3999999999999999E-2</v>
      </c>
      <c r="AD58">
        <v>6.2E-2</v>
      </c>
      <c r="AE58">
        <v>5.2999999999999999E-2</v>
      </c>
      <c r="AF58">
        <v>5.1999999999999998E-2</v>
      </c>
      <c r="AG58">
        <v>5.1999999999999998E-2</v>
      </c>
      <c r="AH58">
        <v>7.0000000000000007E-2</v>
      </c>
      <c r="AK58">
        <v>5.0999999999999997E-2</v>
      </c>
      <c r="AL58">
        <v>0.05</v>
      </c>
      <c r="AM58">
        <v>0.05</v>
      </c>
      <c r="AN58">
        <v>4.9000000000000002E-2</v>
      </c>
      <c r="AO58">
        <v>5.0999999999999997E-2</v>
      </c>
    </row>
    <row r="59" spans="1:41" hidden="1">
      <c r="A59">
        <v>57</v>
      </c>
      <c r="B59">
        <v>0.06</v>
      </c>
      <c r="C59" s="1">
        <v>6.0999999999999999E-5</v>
      </c>
      <c r="D59">
        <v>2.05E-4</v>
      </c>
      <c r="E59" s="1">
        <v>5.8E-5</v>
      </c>
      <c r="F59" s="1">
        <v>5.5000000000000002E-5</v>
      </c>
      <c r="I59">
        <v>5.8000000000000003E-2</v>
      </c>
      <c r="J59" s="1">
        <v>5.7000000000000003E-5</v>
      </c>
      <c r="K59" s="1">
        <v>5.8999999999999998E-5</v>
      </c>
      <c r="L59" s="1">
        <v>6.3999999999999997E-5</v>
      </c>
      <c r="M59">
        <v>4.5199999999999998E-4</v>
      </c>
      <c r="P59">
        <v>5.7000000000000002E-2</v>
      </c>
      <c r="Q59" s="1">
        <v>5.7000000000000003E-5</v>
      </c>
      <c r="R59" s="1">
        <v>5.7000000000000003E-5</v>
      </c>
      <c r="S59" s="1">
        <v>6.0000000000000002E-5</v>
      </c>
      <c r="T59" s="1">
        <v>5.8999999999999998E-5</v>
      </c>
      <c r="U59" s="1"/>
      <c r="W59">
        <v>5.2999999999999999E-2</v>
      </c>
      <c r="X59">
        <v>0.05</v>
      </c>
      <c r="Y59">
        <v>5.0999999999999997E-2</v>
      </c>
      <c r="Z59">
        <v>5.2999999999999999E-2</v>
      </c>
      <c r="AA59">
        <v>5.0999999999999997E-2</v>
      </c>
      <c r="AD59">
        <v>7.2999999999999995E-2</v>
      </c>
      <c r="AE59">
        <v>0.105</v>
      </c>
      <c r="AF59">
        <v>8.1000000000000003E-2</v>
      </c>
      <c r="AG59">
        <v>5.6000000000000001E-2</v>
      </c>
      <c r="AH59">
        <v>5.1999999999999998E-2</v>
      </c>
      <c r="AK59">
        <v>5.1999999999999998E-2</v>
      </c>
      <c r="AL59">
        <v>4.9000000000000002E-2</v>
      </c>
      <c r="AM59">
        <v>4.9000000000000002E-2</v>
      </c>
      <c r="AN59">
        <v>0.05</v>
      </c>
      <c r="AO59">
        <v>5.0999999999999997E-2</v>
      </c>
    </row>
    <row r="60" spans="1:41" hidden="1">
      <c r="A60">
        <v>58</v>
      </c>
      <c r="B60">
        <v>5.7000000000000002E-2</v>
      </c>
      <c r="C60" s="1">
        <v>5.7000000000000003E-5</v>
      </c>
      <c r="D60" s="1">
        <v>5.5999999999999999E-5</v>
      </c>
      <c r="E60">
        <v>2.7399999999999999E-4</v>
      </c>
      <c r="F60" s="1">
        <v>5.5999999999999999E-5</v>
      </c>
      <c r="I60">
        <v>6.0999999999999999E-2</v>
      </c>
      <c r="J60" s="1">
        <v>9.7999999999999997E-5</v>
      </c>
      <c r="K60" s="1">
        <v>8.2999999999999998E-5</v>
      </c>
      <c r="L60" s="1">
        <v>5.5999999999999999E-5</v>
      </c>
      <c r="M60" s="1">
        <v>5.5000000000000002E-5</v>
      </c>
      <c r="P60">
        <v>6.2E-2</v>
      </c>
      <c r="Q60" s="1">
        <v>6.4999999999999994E-5</v>
      </c>
      <c r="R60" s="1">
        <v>6.0000000000000002E-5</v>
      </c>
      <c r="S60" s="1">
        <v>5.8999999999999998E-5</v>
      </c>
      <c r="T60" s="1">
        <v>6.3999999999999997E-5</v>
      </c>
      <c r="U60" s="1"/>
      <c r="W60">
        <v>5.1999999999999998E-2</v>
      </c>
      <c r="X60">
        <v>5.0999999999999997E-2</v>
      </c>
      <c r="Y60">
        <v>5.0999999999999997E-2</v>
      </c>
      <c r="Z60">
        <v>6.0999999999999999E-2</v>
      </c>
      <c r="AA60">
        <v>5.5E-2</v>
      </c>
      <c r="AD60">
        <v>5.3999999999999999E-2</v>
      </c>
      <c r="AE60">
        <v>7.0000000000000007E-2</v>
      </c>
      <c r="AF60">
        <v>7.1999999999999995E-2</v>
      </c>
      <c r="AG60">
        <v>7.2999999999999995E-2</v>
      </c>
      <c r="AH60">
        <v>0.23699999999999999</v>
      </c>
      <c r="AK60">
        <v>5.3999999999999999E-2</v>
      </c>
      <c r="AL60">
        <v>0.05</v>
      </c>
      <c r="AM60">
        <v>0.05</v>
      </c>
      <c r="AN60">
        <v>5.0999999999999997E-2</v>
      </c>
      <c r="AO60">
        <v>4.9000000000000002E-2</v>
      </c>
    </row>
    <row r="61" spans="1:41" hidden="1">
      <c r="A61">
        <v>59</v>
      </c>
      <c r="B61">
        <v>0.498</v>
      </c>
      <c r="C61" s="1">
        <v>6.0000000000000002E-5</v>
      </c>
      <c r="D61">
        <v>1.18E-4</v>
      </c>
      <c r="E61" s="1">
        <v>5.7000000000000003E-5</v>
      </c>
      <c r="F61" s="1">
        <v>5.5000000000000002E-5</v>
      </c>
      <c r="I61">
        <v>6.3E-2</v>
      </c>
      <c r="J61" s="1">
        <v>8.3999999999999995E-5</v>
      </c>
      <c r="K61" s="1">
        <v>8.0000000000000007E-5</v>
      </c>
      <c r="L61" s="1">
        <v>6.2000000000000003E-5</v>
      </c>
      <c r="M61">
        <v>8.4199999999999998E-4</v>
      </c>
      <c r="P61">
        <v>6.3E-2</v>
      </c>
      <c r="Q61" s="1">
        <v>6.3999999999999997E-5</v>
      </c>
      <c r="R61" s="1">
        <v>6.2000000000000003E-5</v>
      </c>
      <c r="S61" s="1">
        <v>6.0999999999999999E-5</v>
      </c>
      <c r="T61" s="1">
        <v>6.0999999999999999E-5</v>
      </c>
      <c r="U61" s="1"/>
      <c r="W61">
        <v>5.2999999999999999E-2</v>
      </c>
      <c r="X61">
        <v>5.0999999999999997E-2</v>
      </c>
      <c r="Y61">
        <v>0.05</v>
      </c>
      <c r="Z61">
        <v>5.0999999999999997E-2</v>
      </c>
      <c r="AA61">
        <v>0.05</v>
      </c>
      <c r="AD61">
        <v>5.1999999999999998E-2</v>
      </c>
      <c r="AE61">
        <v>7.0000000000000007E-2</v>
      </c>
      <c r="AF61">
        <v>7.0999999999999994E-2</v>
      </c>
      <c r="AG61">
        <v>7.1999999999999995E-2</v>
      </c>
      <c r="AH61">
        <v>7.3999999999999996E-2</v>
      </c>
      <c r="AK61">
        <v>5.1999999999999998E-2</v>
      </c>
      <c r="AL61">
        <v>1.5820000000000001</v>
      </c>
      <c r="AM61">
        <v>5.8000000000000003E-2</v>
      </c>
      <c r="AN61">
        <v>5.6000000000000001E-2</v>
      </c>
      <c r="AO61">
        <v>0.158</v>
      </c>
    </row>
    <row r="62" spans="1:41" hidden="1">
      <c r="A62">
        <v>60</v>
      </c>
      <c r="B62">
        <v>5.7000000000000002E-2</v>
      </c>
      <c r="C62" s="1">
        <v>6.4999999999999994E-5</v>
      </c>
      <c r="D62" s="1">
        <v>5.8E-5</v>
      </c>
      <c r="E62" s="1">
        <v>5.5000000000000002E-5</v>
      </c>
      <c r="F62" s="1">
        <v>6.0999999999999999E-5</v>
      </c>
      <c r="I62">
        <v>6.0999999999999999E-2</v>
      </c>
      <c r="J62" s="1">
        <v>5.8999999999999998E-5</v>
      </c>
      <c r="K62" s="1">
        <v>5.7000000000000003E-5</v>
      </c>
      <c r="L62" s="1">
        <v>5.5999999999999999E-5</v>
      </c>
      <c r="M62" s="1">
        <v>5.5000000000000002E-5</v>
      </c>
      <c r="P62">
        <v>6.3E-2</v>
      </c>
      <c r="Q62" s="1">
        <v>5.8E-5</v>
      </c>
      <c r="R62" s="1">
        <v>5.5000000000000002E-5</v>
      </c>
      <c r="S62">
        <v>9.8899999999999995E-3</v>
      </c>
      <c r="T62" s="1">
        <v>6.4999999999999994E-5</v>
      </c>
      <c r="U62" s="1"/>
      <c r="W62">
        <v>5.0999999999999997E-2</v>
      </c>
      <c r="X62">
        <v>0.16500000000000001</v>
      </c>
      <c r="Y62">
        <v>0.06</v>
      </c>
      <c r="Z62">
        <v>5.7000000000000002E-2</v>
      </c>
      <c r="AA62">
        <v>5.8000000000000003E-2</v>
      </c>
      <c r="AD62">
        <v>7.5999999999999998E-2</v>
      </c>
      <c r="AE62">
        <v>7.5999999999999998E-2</v>
      </c>
      <c r="AF62">
        <v>7.9000000000000001E-2</v>
      </c>
      <c r="AG62">
        <v>5.1999999999999998E-2</v>
      </c>
      <c r="AH62">
        <v>7.4999999999999997E-2</v>
      </c>
      <c r="AK62">
        <v>5.5E-2</v>
      </c>
      <c r="AL62">
        <v>5.7000000000000002E-2</v>
      </c>
      <c r="AM62">
        <v>5.3999999999999999E-2</v>
      </c>
      <c r="AN62">
        <v>5.5E-2</v>
      </c>
      <c r="AO62">
        <v>5.3999999999999999E-2</v>
      </c>
    </row>
    <row r="63" spans="1:41" hidden="1">
      <c r="A63">
        <v>61</v>
      </c>
      <c r="B63">
        <v>6.3E-2</v>
      </c>
      <c r="C63" s="1">
        <v>6.3E-5</v>
      </c>
      <c r="D63" s="1">
        <v>6.0000000000000002E-5</v>
      </c>
      <c r="E63" s="1">
        <v>6.0000000000000002E-5</v>
      </c>
      <c r="F63" s="1">
        <v>5.8999999999999998E-5</v>
      </c>
      <c r="I63">
        <v>5.8000000000000003E-2</v>
      </c>
      <c r="J63" s="1">
        <v>5.8E-5</v>
      </c>
      <c r="K63" s="1">
        <v>5.5999999999999999E-5</v>
      </c>
      <c r="L63" s="1">
        <v>5.5000000000000002E-5</v>
      </c>
      <c r="M63" s="1">
        <v>5.5999999999999999E-5</v>
      </c>
      <c r="P63">
        <v>0.06</v>
      </c>
      <c r="Q63" s="1">
        <v>6.0000000000000002E-5</v>
      </c>
      <c r="R63" s="1">
        <v>6.2000000000000003E-5</v>
      </c>
      <c r="S63" s="1">
        <v>5.8E-5</v>
      </c>
      <c r="T63" s="1">
        <v>5.5000000000000002E-5</v>
      </c>
      <c r="U63" s="1"/>
      <c r="W63">
        <v>5.8999999999999997E-2</v>
      </c>
      <c r="X63">
        <v>5.0999999999999997E-2</v>
      </c>
      <c r="Y63">
        <v>5.0999999999999997E-2</v>
      </c>
      <c r="Z63">
        <v>5.0999999999999997E-2</v>
      </c>
      <c r="AA63">
        <v>0.111</v>
      </c>
      <c r="AD63">
        <v>7.3999999999999996E-2</v>
      </c>
      <c r="AE63">
        <v>7.0999999999999994E-2</v>
      </c>
      <c r="AF63">
        <v>7.4999999999999997E-2</v>
      </c>
      <c r="AG63">
        <v>7.3999999999999996E-2</v>
      </c>
      <c r="AH63">
        <v>7.1999999999999995E-2</v>
      </c>
      <c r="AK63">
        <v>5.7000000000000002E-2</v>
      </c>
      <c r="AL63">
        <v>5.6000000000000001E-2</v>
      </c>
      <c r="AM63">
        <v>5.6000000000000001E-2</v>
      </c>
      <c r="AN63">
        <v>0.22</v>
      </c>
      <c r="AO63">
        <v>5.2999999999999999E-2</v>
      </c>
    </row>
    <row r="64" spans="1:41" hidden="1">
      <c r="A64">
        <v>62</v>
      </c>
      <c r="B64">
        <v>6.3E-2</v>
      </c>
      <c r="C64" s="1">
        <v>6.0999999999999999E-5</v>
      </c>
      <c r="D64" s="1">
        <v>6.0000000000000002E-5</v>
      </c>
      <c r="E64" s="1">
        <v>6.0000000000000002E-5</v>
      </c>
      <c r="F64" s="1">
        <v>5.8E-5</v>
      </c>
      <c r="I64">
        <v>0.13900000000000001</v>
      </c>
      <c r="J64" s="1">
        <v>7.7000000000000001E-5</v>
      </c>
      <c r="K64">
        <v>3.1300000000000002E-4</v>
      </c>
      <c r="L64" s="1">
        <v>7.4999999999999993E-5</v>
      </c>
      <c r="M64" s="1">
        <v>6.6000000000000005E-5</v>
      </c>
      <c r="P64">
        <v>5.8000000000000003E-2</v>
      </c>
      <c r="Q64" s="1">
        <v>6.0999999999999999E-5</v>
      </c>
      <c r="R64" s="1">
        <v>5.5000000000000002E-5</v>
      </c>
      <c r="S64" s="1">
        <v>5.5000000000000002E-5</v>
      </c>
      <c r="T64" s="1">
        <v>5.5000000000000002E-5</v>
      </c>
      <c r="U64" s="1"/>
      <c r="W64">
        <v>8.1000000000000003E-2</v>
      </c>
      <c r="X64">
        <v>0.111</v>
      </c>
      <c r="Y64">
        <v>5.3999999999999999E-2</v>
      </c>
      <c r="Z64">
        <v>5.1999999999999998E-2</v>
      </c>
      <c r="AA64">
        <v>5.2999999999999999E-2</v>
      </c>
      <c r="AD64">
        <v>7.9000000000000001E-2</v>
      </c>
      <c r="AE64">
        <v>0.248</v>
      </c>
      <c r="AF64">
        <v>5.0999999999999997E-2</v>
      </c>
      <c r="AG64">
        <v>5.6000000000000001E-2</v>
      </c>
      <c r="AH64">
        <v>5.8000000000000003E-2</v>
      </c>
      <c r="AK64">
        <v>5.7000000000000002E-2</v>
      </c>
      <c r="AL64">
        <v>0.05</v>
      </c>
      <c r="AM64">
        <v>5.1999999999999998E-2</v>
      </c>
      <c r="AN64">
        <v>5.0999999999999997E-2</v>
      </c>
      <c r="AO64">
        <v>5.3999999999999999E-2</v>
      </c>
    </row>
    <row r="65" spans="1:41" hidden="1">
      <c r="A65">
        <v>63</v>
      </c>
      <c r="B65">
        <v>6.3E-2</v>
      </c>
      <c r="C65" s="1">
        <v>6.2000000000000003E-5</v>
      </c>
      <c r="D65" s="1">
        <v>5.8999999999999998E-5</v>
      </c>
      <c r="E65" s="1">
        <v>8.7000000000000001E-5</v>
      </c>
      <c r="F65" s="1">
        <v>6.0999999999999999E-5</v>
      </c>
      <c r="I65">
        <v>9.3059999999999992</v>
      </c>
      <c r="J65">
        <v>5.6099999999999998E-4</v>
      </c>
      <c r="K65" s="1">
        <v>7.7000000000000001E-5</v>
      </c>
      <c r="L65" s="1">
        <v>6.0999999999999999E-5</v>
      </c>
      <c r="M65" s="1">
        <v>6.0000000000000002E-5</v>
      </c>
      <c r="P65">
        <v>5.7000000000000002E-2</v>
      </c>
      <c r="Q65" s="1">
        <v>5.8E-5</v>
      </c>
      <c r="R65" s="1">
        <v>5.5999999999999999E-5</v>
      </c>
      <c r="S65" s="1">
        <v>6.0999999999999999E-5</v>
      </c>
      <c r="T65" s="1">
        <v>5.5999999999999999E-5</v>
      </c>
      <c r="U65" s="1"/>
      <c r="W65">
        <v>5.0999999999999997E-2</v>
      </c>
      <c r="X65">
        <v>0.05</v>
      </c>
      <c r="Y65">
        <v>8.4480000000000004</v>
      </c>
      <c r="Z65">
        <v>5.2999999999999999E-2</v>
      </c>
      <c r="AA65">
        <v>5.1999999999999998E-2</v>
      </c>
      <c r="AD65">
        <v>5.7000000000000002E-2</v>
      </c>
      <c r="AE65">
        <v>5.5E-2</v>
      </c>
      <c r="AF65">
        <v>5.8000000000000003E-2</v>
      </c>
      <c r="AG65">
        <v>0.05</v>
      </c>
      <c r="AH65">
        <v>5.0999999999999997E-2</v>
      </c>
      <c r="AK65">
        <v>5.6000000000000001E-2</v>
      </c>
      <c r="AL65">
        <v>5.1999999999999998E-2</v>
      </c>
      <c r="AM65">
        <v>5.5E-2</v>
      </c>
      <c r="AN65">
        <v>5.0999999999999997E-2</v>
      </c>
      <c r="AO65">
        <v>5.0999999999999997E-2</v>
      </c>
    </row>
    <row r="66" spans="1:41" hidden="1">
      <c r="A66">
        <v>64</v>
      </c>
      <c r="B66">
        <v>6.2E-2</v>
      </c>
      <c r="C66" s="1">
        <v>6.3E-5</v>
      </c>
      <c r="D66" s="1">
        <v>6.0000000000000002E-5</v>
      </c>
      <c r="E66" s="1">
        <v>6.0000000000000002E-5</v>
      </c>
      <c r="F66" s="1">
        <v>6.0000000000000002E-5</v>
      </c>
      <c r="I66">
        <v>6.4000000000000001E-2</v>
      </c>
      <c r="J66" s="1">
        <v>6.6000000000000005E-5</v>
      </c>
      <c r="K66" s="1">
        <v>6.0000000000000002E-5</v>
      </c>
      <c r="L66" s="1">
        <v>6.3E-5</v>
      </c>
      <c r="M66" s="1">
        <v>6.0000000000000002E-5</v>
      </c>
      <c r="P66">
        <v>5.8000000000000003E-2</v>
      </c>
      <c r="Q66" s="1">
        <v>5.7000000000000003E-5</v>
      </c>
      <c r="R66" s="1">
        <v>5.5999999999999999E-5</v>
      </c>
      <c r="S66" s="1">
        <v>5.3999999999999998E-5</v>
      </c>
      <c r="T66">
        <v>1.4899999999999999E-4</v>
      </c>
      <c r="W66">
        <v>5.1999999999999998E-2</v>
      </c>
      <c r="X66">
        <v>4.9000000000000002E-2</v>
      </c>
      <c r="Y66">
        <v>0.05</v>
      </c>
      <c r="Z66">
        <v>0.05</v>
      </c>
      <c r="AA66">
        <v>5.0999999999999997E-2</v>
      </c>
      <c r="AD66">
        <v>7.0000000000000007E-2</v>
      </c>
      <c r="AE66">
        <v>5.5E-2</v>
      </c>
      <c r="AF66">
        <v>0.105</v>
      </c>
      <c r="AG66">
        <v>5.1999999999999998E-2</v>
      </c>
      <c r="AH66">
        <v>1.613</v>
      </c>
      <c r="AK66">
        <v>5.3999999999999999E-2</v>
      </c>
      <c r="AL66">
        <v>0.05</v>
      </c>
      <c r="AM66">
        <v>5.0999999999999997E-2</v>
      </c>
      <c r="AN66">
        <v>0.05</v>
      </c>
      <c r="AO66">
        <v>2.5139999999999998</v>
      </c>
    </row>
    <row r="67" spans="1:41" hidden="1">
      <c r="A67">
        <v>65</v>
      </c>
      <c r="B67">
        <v>6.3E-2</v>
      </c>
      <c r="C67" s="1">
        <v>6.3999999999999997E-5</v>
      </c>
      <c r="D67" s="1">
        <v>5.5999999999999999E-5</v>
      </c>
      <c r="E67" s="1">
        <v>5.3999999999999998E-5</v>
      </c>
      <c r="F67" s="1">
        <v>5.3999999999999998E-5</v>
      </c>
      <c r="I67">
        <v>0.12</v>
      </c>
      <c r="J67">
        <v>1.9599999999999999E-4</v>
      </c>
      <c r="K67" s="1">
        <v>7.2000000000000002E-5</v>
      </c>
      <c r="L67" s="1">
        <v>5.7000000000000003E-5</v>
      </c>
      <c r="M67" s="1">
        <v>5.7000000000000003E-5</v>
      </c>
      <c r="P67">
        <v>5.8000000000000003E-2</v>
      </c>
      <c r="Q67" s="1">
        <v>5.8E-5</v>
      </c>
      <c r="R67" s="1">
        <v>5.5000000000000002E-5</v>
      </c>
      <c r="S67" s="1">
        <v>5.5999999999999999E-5</v>
      </c>
      <c r="T67" s="1">
        <v>5.3999999999999998E-5</v>
      </c>
      <c r="U67" s="1"/>
      <c r="W67">
        <v>0.27200000000000002</v>
      </c>
      <c r="X67">
        <v>5.0999999999999997E-2</v>
      </c>
      <c r="Y67">
        <v>5.0999999999999997E-2</v>
      </c>
      <c r="Z67">
        <v>0.05</v>
      </c>
      <c r="AA67">
        <v>5.6000000000000001E-2</v>
      </c>
      <c r="AD67">
        <v>7.181</v>
      </c>
      <c r="AE67">
        <v>5.1999999999999998E-2</v>
      </c>
      <c r="AF67">
        <v>5.1999999999999998E-2</v>
      </c>
      <c r="AG67">
        <v>5.1999999999999998E-2</v>
      </c>
      <c r="AH67">
        <v>5.0999999999999997E-2</v>
      </c>
      <c r="AK67">
        <v>0.111</v>
      </c>
      <c r="AL67">
        <v>4.9000000000000002E-2</v>
      </c>
      <c r="AM67">
        <v>0.05</v>
      </c>
      <c r="AN67">
        <v>0.05</v>
      </c>
      <c r="AO67">
        <v>5.5E-2</v>
      </c>
    </row>
    <row r="68" spans="1:41" hidden="1">
      <c r="A68">
        <v>66</v>
      </c>
      <c r="B68">
        <v>0.109</v>
      </c>
      <c r="C68" s="1">
        <v>5.8999999999999998E-5</v>
      </c>
      <c r="D68" s="1">
        <v>5.7000000000000003E-5</v>
      </c>
      <c r="E68" s="1">
        <v>5.5999999999999999E-5</v>
      </c>
      <c r="F68" s="1">
        <v>5.5999999999999999E-5</v>
      </c>
      <c r="I68">
        <v>6.3E-2</v>
      </c>
      <c r="J68" s="1">
        <v>6.2000000000000003E-5</v>
      </c>
      <c r="K68">
        <v>4.1199999999999999E-4</v>
      </c>
      <c r="L68" s="1">
        <v>6.0999999999999999E-5</v>
      </c>
      <c r="M68" s="1">
        <v>6.0000000000000002E-5</v>
      </c>
      <c r="P68">
        <v>5.7000000000000002E-2</v>
      </c>
      <c r="Q68" s="1">
        <v>5.5999999999999999E-5</v>
      </c>
      <c r="R68" s="1">
        <v>5.5999999999999999E-5</v>
      </c>
      <c r="S68" s="1">
        <v>5.5999999999999999E-5</v>
      </c>
      <c r="T68" s="1">
        <v>5.5000000000000002E-5</v>
      </c>
      <c r="U68" s="1"/>
      <c r="W68">
        <v>8.3000000000000004E-2</v>
      </c>
      <c r="X68">
        <v>7.4999999999999997E-2</v>
      </c>
      <c r="Y68">
        <v>5.3999999999999999E-2</v>
      </c>
      <c r="Z68">
        <v>5.0999999999999997E-2</v>
      </c>
      <c r="AA68">
        <v>0.53400000000000003</v>
      </c>
      <c r="AD68">
        <v>5.0999999999999997E-2</v>
      </c>
      <c r="AE68">
        <v>4.9000000000000002E-2</v>
      </c>
      <c r="AF68">
        <v>5.0999999999999997E-2</v>
      </c>
      <c r="AG68">
        <v>0.27700000000000002</v>
      </c>
      <c r="AH68">
        <v>5.8999999999999997E-2</v>
      </c>
      <c r="AK68">
        <v>5.0999999999999997E-2</v>
      </c>
      <c r="AL68">
        <v>4.9000000000000002E-2</v>
      </c>
      <c r="AM68">
        <v>5.0999999999999997E-2</v>
      </c>
      <c r="AN68">
        <v>0.188</v>
      </c>
      <c r="AO68">
        <v>5.3999999999999999E-2</v>
      </c>
    </row>
    <row r="69" spans="1:41" hidden="1">
      <c r="A69">
        <v>67</v>
      </c>
      <c r="B69">
        <v>5.8000000000000003E-2</v>
      </c>
      <c r="C69">
        <v>1.56E-4</v>
      </c>
      <c r="D69" s="1">
        <v>5.8E-5</v>
      </c>
      <c r="E69" s="1">
        <v>5.5000000000000002E-5</v>
      </c>
      <c r="F69" s="1">
        <v>5.5999999999999999E-5</v>
      </c>
      <c r="I69">
        <v>5.8000000000000003E-2</v>
      </c>
      <c r="J69" s="1">
        <v>5.7000000000000003E-5</v>
      </c>
      <c r="K69" s="1">
        <v>5.5999999999999999E-5</v>
      </c>
      <c r="L69" s="1">
        <v>5.5000000000000002E-5</v>
      </c>
      <c r="M69" s="1">
        <v>6.7000000000000002E-5</v>
      </c>
      <c r="P69">
        <v>5.8000000000000003E-2</v>
      </c>
      <c r="Q69" s="1">
        <v>5.7000000000000003E-5</v>
      </c>
      <c r="R69" s="1">
        <v>5.5999999999999999E-5</v>
      </c>
      <c r="S69" s="1">
        <v>5.5000000000000002E-5</v>
      </c>
      <c r="T69" s="1">
        <v>5.3999999999999998E-5</v>
      </c>
      <c r="U69" s="1"/>
      <c r="W69">
        <v>6.4000000000000001E-2</v>
      </c>
      <c r="X69">
        <v>9.5000000000000001E-2</v>
      </c>
      <c r="Y69">
        <v>5.8000000000000003E-2</v>
      </c>
      <c r="Z69">
        <v>5.7000000000000002E-2</v>
      </c>
      <c r="AA69">
        <v>5.5E-2</v>
      </c>
      <c r="AD69">
        <v>5.1999999999999998E-2</v>
      </c>
      <c r="AE69">
        <v>0.06</v>
      </c>
      <c r="AF69">
        <v>5.8000000000000003E-2</v>
      </c>
      <c r="AG69">
        <v>5.6000000000000001E-2</v>
      </c>
      <c r="AH69">
        <v>5.5E-2</v>
      </c>
      <c r="AK69">
        <v>5.2999999999999999E-2</v>
      </c>
      <c r="AL69">
        <v>8.2119999999999997</v>
      </c>
      <c r="AM69">
        <v>0.95199999999999996</v>
      </c>
      <c r="AN69">
        <v>5.2999999999999999E-2</v>
      </c>
      <c r="AO69">
        <v>5.1999999999999998E-2</v>
      </c>
    </row>
    <row r="70" spans="1:41" hidden="1">
      <c r="A70">
        <v>68</v>
      </c>
      <c r="B70">
        <v>5.8999999999999997E-2</v>
      </c>
      <c r="C70" s="1">
        <v>5.8E-5</v>
      </c>
      <c r="D70" s="1">
        <v>5.5999999999999999E-5</v>
      </c>
      <c r="E70" s="1">
        <v>5.5999999999999999E-5</v>
      </c>
      <c r="F70" s="1">
        <v>9.2999999999999997E-5</v>
      </c>
      <c r="I70">
        <v>0.624</v>
      </c>
      <c r="J70" s="1">
        <v>6.9999999999999994E-5</v>
      </c>
      <c r="K70" s="1">
        <v>6.3999999999999997E-5</v>
      </c>
      <c r="L70" s="1">
        <v>6.0999999999999999E-5</v>
      </c>
      <c r="M70" s="1">
        <v>6.0000000000000002E-5</v>
      </c>
      <c r="P70">
        <v>5.7000000000000002E-2</v>
      </c>
      <c r="Q70" s="1">
        <v>5.7000000000000003E-5</v>
      </c>
      <c r="R70" s="1">
        <v>5.5000000000000002E-5</v>
      </c>
      <c r="S70" s="1">
        <v>5.3999999999999998E-5</v>
      </c>
      <c r="T70" s="1">
        <v>5.3000000000000001E-5</v>
      </c>
      <c r="U70" s="1"/>
      <c r="W70">
        <v>5.7000000000000002E-2</v>
      </c>
      <c r="X70">
        <v>0.05</v>
      </c>
      <c r="Y70">
        <v>6.3E-2</v>
      </c>
      <c r="Z70">
        <v>0.41899999999999998</v>
      </c>
      <c r="AA70">
        <v>5.6000000000000001E-2</v>
      </c>
      <c r="AD70">
        <v>5.6000000000000001E-2</v>
      </c>
      <c r="AE70">
        <v>5.5E-2</v>
      </c>
      <c r="AF70">
        <v>0.16</v>
      </c>
      <c r="AG70">
        <v>5.6000000000000001E-2</v>
      </c>
      <c r="AH70">
        <v>5.0999999999999997E-2</v>
      </c>
      <c r="AK70">
        <v>5.1999999999999998E-2</v>
      </c>
      <c r="AL70">
        <v>0.185</v>
      </c>
      <c r="AM70">
        <v>7.8E-2</v>
      </c>
      <c r="AN70">
        <v>5.5E-2</v>
      </c>
      <c r="AO70">
        <v>5.8000000000000003E-2</v>
      </c>
    </row>
    <row r="71" spans="1:41" hidden="1">
      <c r="A71">
        <v>69</v>
      </c>
      <c r="B71">
        <v>0.09</v>
      </c>
      <c r="C71" s="1">
        <v>9.8999999999999994E-5</v>
      </c>
      <c r="D71" s="1">
        <v>5.8E-5</v>
      </c>
      <c r="E71">
        <v>2.251E-3</v>
      </c>
      <c r="F71" s="1">
        <v>5.5999999999999999E-5</v>
      </c>
      <c r="I71">
        <v>6.2E-2</v>
      </c>
      <c r="J71" s="1">
        <v>6.2000000000000003E-5</v>
      </c>
      <c r="K71" s="1">
        <v>6.6000000000000005E-5</v>
      </c>
      <c r="L71" s="1">
        <v>5.8999999999999998E-5</v>
      </c>
      <c r="M71">
        <v>6.4899999999999995E-4</v>
      </c>
      <c r="P71">
        <v>5.8000000000000003E-2</v>
      </c>
      <c r="Q71" s="1">
        <v>8.3999999999999995E-5</v>
      </c>
      <c r="R71" s="1">
        <v>5.8999999999999998E-5</v>
      </c>
      <c r="S71" s="1">
        <v>5.5999999999999999E-5</v>
      </c>
      <c r="T71" s="1">
        <v>5.3999999999999998E-5</v>
      </c>
      <c r="U71" s="1"/>
      <c r="W71">
        <v>0.76600000000000001</v>
      </c>
      <c r="X71">
        <v>5.3999999999999999E-2</v>
      </c>
      <c r="Y71">
        <v>5.5E-2</v>
      </c>
      <c r="Z71">
        <v>5.1999999999999998E-2</v>
      </c>
      <c r="AA71">
        <v>5.1999999999999998E-2</v>
      </c>
      <c r="AD71">
        <v>5.1999999999999998E-2</v>
      </c>
      <c r="AE71">
        <v>5.0999999999999997E-2</v>
      </c>
      <c r="AF71">
        <v>0.05</v>
      </c>
      <c r="AG71">
        <v>0.05</v>
      </c>
      <c r="AH71">
        <v>0.05</v>
      </c>
      <c r="AK71">
        <v>5.6000000000000001E-2</v>
      </c>
      <c r="AL71">
        <v>5.8000000000000003E-2</v>
      </c>
      <c r="AM71">
        <v>5.0999999999999997E-2</v>
      </c>
      <c r="AN71">
        <v>5.5E-2</v>
      </c>
      <c r="AO71">
        <v>5.5E-2</v>
      </c>
    </row>
    <row r="72" spans="1:41" hidden="1">
      <c r="A72">
        <v>70</v>
      </c>
      <c r="B72">
        <v>6.6000000000000003E-2</v>
      </c>
      <c r="C72" s="1">
        <v>6.2000000000000003E-5</v>
      </c>
      <c r="D72" s="1">
        <v>6.0999999999999999E-5</v>
      </c>
      <c r="E72" s="1">
        <v>5.8999999999999998E-5</v>
      </c>
      <c r="F72" s="1">
        <v>6.3E-5</v>
      </c>
      <c r="I72">
        <v>5.8000000000000003E-2</v>
      </c>
      <c r="J72" s="1">
        <v>8.0000000000000007E-5</v>
      </c>
      <c r="K72">
        <v>1.2E-4</v>
      </c>
      <c r="L72" s="1">
        <v>5.8999999999999998E-5</v>
      </c>
      <c r="M72" s="1">
        <v>5.5000000000000002E-5</v>
      </c>
      <c r="P72">
        <v>5.7000000000000002E-2</v>
      </c>
      <c r="Q72" s="1">
        <v>5.7000000000000003E-5</v>
      </c>
      <c r="R72" s="1">
        <v>5.5000000000000002E-5</v>
      </c>
      <c r="S72" s="1">
        <v>5.5000000000000002E-5</v>
      </c>
      <c r="T72">
        <v>1.7699999999999999E-4</v>
      </c>
      <c r="W72">
        <v>5.0999999999999997E-2</v>
      </c>
      <c r="X72">
        <v>0.158</v>
      </c>
      <c r="Y72">
        <v>0.151</v>
      </c>
      <c r="Z72">
        <v>5.2999999999999999E-2</v>
      </c>
      <c r="AA72">
        <v>5.0999999999999997E-2</v>
      </c>
      <c r="AD72">
        <v>8.7999999999999995E-2</v>
      </c>
      <c r="AE72">
        <v>0.47499999999999998</v>
      </c>
      <c r="AF72">
        <v>0.78400000000000003</v>
      </c>
      <c r="AG72">
        <v>5.3999999999999999E-2</v>
      </c>
      <c r="AH72">
        <v>5.0999999999999997E-2</v>
      </c>
      <c r="AK72">
        <v>5.5E-2</v>
      </c>
      <c r="AL72">
        <v>5.3999999999999999E-2</v>
      </c>
      <c r="AM72">
        <v>5.5E-2</v>
      </c>
      <c r="AN72">
        <v>5.6000000000000001E-2</v>
      </c>
      <c r="AO72">
        <v>5.3999999999999999E-2</v>
      </c>
    </row>
    <row r="73" spans="1:41" hidden="1">
      <c r="A73">
        <v>71</v>
      </c>
      <c r="B73">
        <v>6.2E-2</v>
      </c>
      <c r="C73" s="1">
        <v>6.0999999999999999E-5</v>
      </c>
      <c r="D73" s="1">
        <v>5.5000000000000002E-5</v>
      </c>
      <c r="E73" s="1">
        <v>5.5000000000000002E-5</v>
      </c>
      <c r="F73">
        <v>1.1022000000000001E-2</v>
      </c>
      <c r="I73">
        <v>5.7000000000000002E-2</v>
      </c>
      <c r="J73" s="1">
        <v>5.7000000000000003E-5</v>
      </c>
      <c r="K73" s="1">
        <v>5.8E-5</v>
      </c>
      <c r="L73" s="1">
        <v>5.3999999999999998E-5</v>
      </c>
      <c r="M73" s="1">
        <v>5.3999999999999998E-5</v>
      </c>
      <c r="P73">
        <v>0.11600000000000001</v>
      </c>
      <c r="Q73" s="1">
        <v>6.3E-5</v>
      </c>
      <c r="R73" s="1">
        <v>5.5999999999999999E-5</v>
      </c>
      <c r="S73" s="1">
        <v>5.5000000000000002E-5</v>
      </c>
      <c r="T73" s="1">
        <v>5.5000000000000002E-5</v>
      </c>
      <c r="U73" s="1"/>
      <c r="W73">
        <v>5.0999999999999997E-2</v>
      </c>
      <c r="X73">
        <v>0.93600000000000005</v>
      </c>
      <c r="Y73">
        <v>5.0999999999999997E-2</v>
      </c>
      <c r="Z73">
        <v>7.1059999999999999</v>
      </c>
      <c r="AA73">
        <v>5.2999999999999999E-2</v>
      </c>
      <c r="AD73">
        <v>5.1999999999999998E-2</v>
      </c>
      <c r="AE73">
        <v>0.05</v>
      </c>
      <c r="AF73">
        <v>5.1999999999999998E-2</v>
      </c>
      <c r="AG73">
        <v>0.05</v>
      </c>
      <c r="AH73">
        <v>0.05</v>
      </c>
      <c r="AK73">
        <v>5.5E-2</v>
      </c>
      <c r="AL73">
        <v>5.3999999999999999E-2</v>
      </c>
      <c r="AM73">
        <v>5.5E-2</v>
      </c>
      <c r="AN73">
        <v>5.5E-2</v>
      </c>
      <c r="AO73">
        <v>5.6000000000000001E-2</v>
      </c>
    </row>
    <row r="74" spans="1:41" hidden="1">
      <c r="A74">
        <v>72</v>
      </c>
      <c r="B74">
        <v>0.42699999999999999</v>
      </c>
      <c r="C74" s="1">
        <v>6.2000000000000003E-5</v>
      </c>
      <c r="D74" s="1">
        <v>5.8999999999999998E-5</v>
      </c>
      <c r="E74" s="1">
        <v>5.8999999999999998E-5</v>
      </c>
      <c r="F74" s="1">
        <v>6.0000000000000002E-5</v>
      </c>
      <c r="I74">
        <v>0.10199999999999999</v>
      </c>
      <c r="J74" s="1">
        <v>5.8E-5</v>
      </c>
      <c r="K74" s="1">
        <v>5.5999999999999999E-5</v>
      </c>
      <c r="L74">
        <v>1.761E-3</v>
      </c>
      <c r="M74" s="1">
        <v>9.2999999999999997E-5</v>
      </c>
      <c r="P74">
        <v>5.8000000000000003E-2</v>
      </c>
      <c r="Q74" s="1">
        <v>5.7000000000000003E-5</v>
      </c>
      <c r="R74" s="1">
        <v>9.6000000000000002E-5</v>
      </c>
      <c r="S74" s="1">
        <v>7.2000000000000002E-5</v>
      </c>
      <c r="T74" s="1">
        <v>6.0000000000000002E-5</v>
      </c>
      <c r="U74" s="1"/>
      <c r="W74">
        <v>5.0999999999999997E-2</v>
      </c>
      <c r="X74">
        <v>4.9000000000000002E-2</v>
      </c>
      <c r="Y74">
        <v>0.16200000000000001</v>
      </c>
      <c r="Z74">
        <v>8.6999999999999994E-2</v>
      </c>
      <c r="AA74">
        <v>5.0999999999999997E-2</v>
      </c>
      <c r="AD74">
        <v>6.0999999999999999E-2</v>
      </c>
      <c r="AE74">
        <v>0.08</v>
      </c>
      <c r="AF74">
        <v>5.6000000000000001E-2</v>
      </c>
      <c r="AG74">
        <v>5.2999999999999999E-2</v>
      </c>
      <c r="AH74">
        <v>0.05</v>
      </c>
      <c r="AK74">
        <v>5.6000000000000001E-2</v>
      </c>
      <c r="AL74">
        <v>4.9000000000000002E-2</v>
      </c>
      <c r="AM74">
        <v>0.05</v>
      </c>
      <c r="AN74">
        <v>4.9000000000000002E-2</v>
      </c>
      <c r="AO74">
        <v>5.0999999999999997E-2</v>
      </c>
    </row>
    <row r="75" spans="1:41" hidden="1">
      <c r="A75">
        <v>73</v>
      </c>
      <c r="B75">
        <v>6.0999999999999999E-2</v>
      </c>
      <c r="C75" s="1">
        <v>5.5999999999999999E-5</v>
      </c>
      <c r="D75">
        <v>1.92E-4</v>
      </c>
      <c r="E75" s="1">
        <v>8.0000000000000007E-5</v>
      </c>
      <c r="F75" s="1">
        <v>6.0000000000000002E-5</v>
      </c>
      <c r="I75">
        <v>6.2E-2</v>
      </c>
      <c r="J75">
        <v>1.46E-4</v>
      </c>
      <c r="K75" s="1">
        <v>5.8999999999999998E-5</v>
      </c>
      <c r="L75">
        <v>4.0200000000000001E-4</v>
      </c>
      <c r="M75" s="1">
        <v>5.8E-5</v>
      </c>
      <c r="P75">
        <v>6.2E-2</v>
      </c>
      <c r="Q75" s="1">
        <v>6.3E-5</v>
      </c>
      <c r="R75" s="1">
        <v>6.2000000000000003E-5</v>
      </c>
      <c r="S75" s="1">
        <v>7.1000000000000005E-5</v>
      </c>
      <c r="T75">
        <v>2.183E-3</v>
      </c>
      <c r="W75">
        <v>5.0999999999999997E-2</v>
      </c>
      <c r="X75">
        <v>5.1999999999999998E-2</v>
      </c>
      <c r="Y75">
        <v>0.34200000000000003</v>
      </c>
      <c r="Z75">
        <v>5.3999999999999999E-2</v>
      </c>
      <c r="AA75">
        <v>5.5E-2</v>
      </c>
      <c r="AD75">
        <v>0.05</v>
      </c>
      <c r="AE75">
        <v>0.56699999999999995</v>
      </c>
      <c r="AF75">
        <v>8.8610000000000007</v>
      </c>
      <c r="AG75">
        <v>5.5E-2</v>
      </c>
      <c r="AH75">
        <v>5.7000000000000002E-2</v>
      </c>
      <c r="AK75">
        <v>0.11</v>
      </c>
      <c r="AL75">
        <v>9.6000000000000002E-2</v>
      </c>
      <c r="AM75">
        <v>0.153</v>
      </c>
      <c r="AN75">
        <v>1.2969999999999999</v>
      </c>
      <c r="AO75">
        <v>5.1999999999999998E-2</v>
      </c>
    </row>
    <row r="76" spans="1:41" hidden="1">
      <c r="A76">
        <v>74</v>
      </c>
      <c r="B76">
        <v>6.2E-2</v>
      </c>
      <c r="C76" s="1">
        <v>6.2000000000000003E-5</v>
      </c>
      <c r="D76" s="1">
        <v>6.0000000000000002E-5</v>
      </c>
      <c r="E76" s="1">
        <v>5.5000000000000002E-5</v>
      </c>
      <c r="F76" s="1">
        <v>5.5000000000000002E-5</v>
      </c>
      <c r="I76">
        <v>8.5999999999999993E-2</v>
      </c>
      <c r="J76" s="1">
        <v>7.7999999999999999E-5</v>
      </c>
      <c r="K76" s="1">
        <v>6.0000000000000002E-5</v>
      </c>
      <c r="L76" s="1">
        <v>6.0999999999999999E-5</v>
      </c>
      <c r="M76" s="1">
        <v>5.3999999999999998E-5</v>
      </c>
      <c r="P76">
        <v>6.4000000000000001E-2</v>
      </c>
      <c r="Q76" s="1">
        <v>9.1000000000000003E-5</v>
      </c>
      <c r="R76" s="1">
        <v>6.2000000000000003E-5</v>
      </c>
      <c r="S76" s="1">
        <v>6.0000000000000002E-5</v>
      </c>
      <c r="T76" s="1">
        <v>5.8999999999999998E-5</v>
      </c>
      <c r="U76" s="1"/>
      <c r="W76">
        <v>5.5E-2</v>
      </c>
      <c r="X76">
        <v>0.05</v>
      </c>
      <c r="Y76">
        <v>0.05</v>
      </c>
      <c r="Z76">
        <v>0.05</v>
      </c>
      <c r="AA76">
        <v>0.05</v>
      </c>
      <c r="AD76">
        <v>6.3E-2</v>
      </c>
      <c r="AE76">
        <v>5.5E-2</v>
      </c>
      <c r="AF76">
        <v>5.3999999999999999E-2</v>
      </c>
      <c r="AG76">
        <v>4.9000000000000002E-2</v>
      </c>
      <c r="AH76">
        <v>0.05</v>
      </c>
      <c r="AK76">
        <v>5.2999999999999999E-2</v>
      </c>
      <c r="AL76">
        <v>0.05</v>
      </c>
      <c r="AM76">
        <v>0.05</v>
      </c>
      <c r="AN76">
        <v>4.9000000000000002E-2</v>
      </c>
      <c r="AO76">
        <v>0.74399999999999999</v>
      </c>
    </row>
    <row r="77" spans="1:41" hidden="1">
      <c r="A77">
        <v>75</v>
      </c>
      <c r="B77">
        <v>5.8000000000000003E-2</v>
      </c>
      <c r="C77" s="1">
        <v>5.8E-5</v>
      </c>
      <c r="D77">
        <v>2.0799999999999999E-4</v>
      </c>
      <c r="E77" s="1">
        <v>8.3999999999999995E-5</v>
      </c>
      <c r="F77">
        <v>1.1E-4</v>
      </c>
      <c r="I77">
        <v>5.6000000000000001E-2</v>
      </c>
      <c r="J77" s="1">
        <v>6.0999999999999999E-5</v>
      </c>
      <c r="K77">
        <v>3.5300000000000002E-4</v>
      </c>
      <c r="L77" s="1">
        <v>5.7000000000000003E-5</v>
      </c>
      <c r="M77" s="1">
        <v>5.3999999999999998E-5</v>
      </c>
      <c r="P77">
        <v>6.3E-2</v>
      </c>
      <c r="Q77" s="1">
        <v>5.8E-5</v>
      </c>
      <c r="R77" s="1">
        <v>5.5999999999999999E-5</v>
      </c>
      <c r="S77" s="1">
        <v>5.3999999999999998E-5</v>
      </c>
      <c r="T77">
        <v>2.5111000000000001E-2</v>
      </c>
      <c r="W77">
        <v>5.3999999999999999E-2</v>
      </c>
      <c r="X77">
        <v>5.3999999999999999E-2</v>
      </c>
      <c r="Y77">
        <v>5.5E-2</v>
      </c>
      <c r="Z77">
        <v>5.5E-2</v>
      </c>
      <c r="AA77">
        <v>5.3999999999999999E-2</v>
      </c>
      <c r="AD77">
        <v>0.23499999999999999</v>
      </c>
      <c r="AE77">
        <v>7.1999999999999995E-2</v>
      </c>
      <c r="AF77">
        <v>0.16900000000000001</v>
      </c>
      <c r="AG77">
        <v>5.3999999999999999E-2</v>
      </c>
      <c r="AH77">
        <v>0.08</v>
      </c>
      <c r="AK77">
        <v>5.2999999999999999E-2</v>
      </c>
      <c r="AL77">
        <v>5.0999999999999997E-2</v>
      </c>
      <c r="AM77">
        <v>5.0999999999999997E-2</v>
      </c>
      <c r="AN77">
        <v>0.05</v>
      </c>
      <c r="AO77">
        <v>4.9000000000000002E-2</v>
      </c>
    </row>
    <row r="78" spans="1:41" hidden="1">
      <c r="A78">
        <v>76</v>
      </c>
      <c r="B78">
        <v>6.0999999999999999E-2</v>
      </c>
      <c r="C78" s="1">
        <v>5.8E-5</v>
      </c>
      <c r="D78" s="1">
        <v>5.7000000000000003E-5</v>
      </c>
      <c r="E78" s="1">
        <v>5.5000000000000002E-5</v>
      </c>
      <c r="F78">
        <v>1.3799999999999999E-4</v>
      </c>
      <c r="I78">
        <v>5.8000000000000003E-2</v>
      </c>
      <c r="J78" s="1">
        <v>5.7000000000000003E-5</v>
      </c>
      <c r="K78">
        <v>1.1906999999999999E-2</v>
      </c>
      <c r="L78">
        <v>4.9899999999999999E-4</v>
      </c>
      <c r="M78" s="1">
        <v>6.7999999999999999E-5</v>
      </c>
      <c r="P78">
        <v>0.52800000000000002</v>
      </c>
      <c r="Q78">
        <v>1.06E-4</v>
      </c>
      <c r="R78">
        <v>1.08E-4</v>
      </c>
      <c r="S78" s="1">
        <v>8.1000000000000004E-5</v>
      </c>
      <c r="T78" s="1">
        <v>7.7999999999999999E-5</v>
      </c>
      <c r="U78" s="1"/>
      <c r="W78">
        <v>5.7000000000000002E-2</v>
      </c>
      <c r="X78">
        <v>5.3999999999999999E-2</v>
      </c>
      <c r="Y78">
        <v>5.5E-2</v>
      </c>
      <c r="Z78">
        <v>5.3999999999999999E-2</v>
      </c>
      <c r="AA78">
        <v>0.08</v>
      </c>
      <c r="AD78">
        <v>0.20399999999999999</v>
      </c>
      <c r="AE78">
        <v>0.05</v>
      </c>
      <c r="AF78">
        <v>5.6000000000000001E-2</v>
      </c>
      <c r="AG78">
        <v>0.05</v>
      </c>
      <c r="AH78">
        <v>5.7000000000000002E-2</v>
      </c>
      <c r="AK78">
        <v>5.0999999999999997E-2</v>
      </c>
      <c r="AL78">
        <v>0.05</v>
      </c>
      <c r="AM78">
        <v>0.05</v>
      </c>
      <c r="AN78">
        <v>0.05</v>
      </c>
      <c r="AO78">
        <v>0.05</v>
      </c>
    </row>
    <row r="79" spans="1:41" hidden="1">
      <c r="A79">
        <v>77</v>
      </c>
      <c r="B79">
        <v>5.8000000000000003E-2</v>
      </c>
      <c r="C79" s="1">
        <v>9.2999999999999997E-5</v>
      </c>
      <c r="D79" s="1">
        <v>6.3999999999999997E-5</v>
      </c>
      <c r="E79" s="1">
        <v>6.2000000000000003E-5</v>
      </c>
      <c r="F79" s="1">
        <v>6.0000000000000002E-5</v>
      </c>
      <c r="I79">
        <v>5.8000000000000003E-2</v>
      </c>
      <c r="J79" s="1">
        <v>6.0999999999999999E-5</v>
      </c>
      <c r="K79" s="1">
        <v>6.2000000000000003E-5</v>
      </c>
      <c r="L79" s="1">
        <v>5.8E-5</v>
      </c>
      <c r="M79" s="1">
        <v>5.3000000000000001E-5</v>
      </c>
      <c r="P79">
        <v>8.6999999999999994E-2</v>
      </c>
      <c r="Q79" s="1">
        <v>8.5000000000000006E-5</v>
      </c>
      <c r="R79">
        <v>1.8900000000000001E-4</v>
      </c>
      <c r="S79" s="1">
        <v>8.3999999999999995E-5</v>
      </c>
      <c r="T79" s="1">
        <v>7.8999999999999996E-5</v>
      </c>
      <c r="U79" s="1"/>
      <c r="W79">
        <v>5.7000000000000002E-2</v>
      </c>
      <c r="X79">
        <v>5.2999999999999999E-2</v>
      </c>
      <c r="Y79">
        <v>5.5E-2</v>
      </c>
      <c r="Z79">
        <v>5.2999999999999999E-2</v>
      </c>
      <c r="AA79">
        <v>5.5E-2</v>
      </c>
      <c r="AD79">
        <v>5.8000000000000003E-2</v>
      </c>
      <c r="AE79">
        <v>5.5E-2</v>
      </c>
      <c r="AF79">
        <v>5.5E-2</v>
      </c>
      <c r="AG79">
        <v>5.5E-2</v>
      </c>
      <c r="AH79">
        <v>5.5E-2</v>
      </c>
      <c r="AK79">
        <v>5.2999999999999999E-2</v>
      </c>
      <c r="AL79">
        <v>0.05</v>
      </c>
      <c r="AM79">
        <v>0.05</v>
      </c>
      <c r="AN79">
        <v>5.0999999999999997E-2</v>
      </c>
      <c r="AO79">
        <v>8.2899999999999991</v>
      </c>
    </row>
    <row r="80" spans="1:41" hidden="1">
      <c r="A80">
        <v>78</v>
      </c>
      <c r="B80">
        <v>6.4000000000000001E-2</v>
      </c>
      <c r="C80" s="1">
        <v>6.3E-5</v>
      </c>
      <c r="D80" s="1">
        <v>6.0000000000000002E-5</v>
      </c>
      <c r="E80" s="1">
        <v>6.3999999999999997E-5</v>
      </c>
      <c r="F80" s="1">
        <v>6.0000000000000002E-5</v>
      </c>
      <c r="I80">
        <v>0.34300000000000003</v>
      </c>
      <c r="J80">
        <v>1.034E-3</v>
      </c>
      <c r="K80" s="1">
        <v>6.4999999999999994E-5</v>
      </c>
      <c r="L80" s="1">
        <v>8.8999999999999995E-5</v>
      </c>
      <c r="M80" s="1">
        <v>6.0000000000000002E-5</v>
      </c>
      <c r="P80">
        <v>8.5999999999999993E-2</v>
      </c>
      <c r="Q80" s="1">
        <v>9.0000000000000006E-5</v>
      </c>
      <c r="R80" s="1">
        <v>7.8999999999999996E-5</v>
      </c>
      <c r="S80" s="1">
        <v>7.8999999999999996E-5</v>
      </c>
      <c r="T80" s="1">
        <v>8.7000000000000001E-5</v>
      </c>
      <c r="U80" s="1"/>
      <c r="W80">
        <v>5.5E-2</v>
      </c>
      <c r="X80">
        <v>4.9000000000000002E-2</v>
      </c>
      <c r="Y80">
        <v>5.0999999999999997E-2</v>
      </c>
      <c r="Z80">
        <v>5.6000000000000001E-2</v>
      </c>
      <c r="AA80">
        <v>5.5E-2</v>
      </c>
      <c r="AD80">
        <v>5.6000000000000001E-2</v>
      </c>
      <c r="AE80">
        <v>5.3999999999999999E-2</v>
      </c>
      <c r="AF80">
        <v>5.7000000000000002E-2</v>
      </c>
      <c r="AG80">
        <v>5.8000000000000003E-2</v>
      </c>
      <c r="AH80">
        <v>0.10100000000000001</v>
      </c>
      <c r="AK80">
        <v>0.51500000000000001</v>
      </c>
      <c r="AL80">
        <v>5.6000000000000001E-2</v>
      </c>
      <c r="AM80">
        <v>5.6000000000000001E-2</v>
      </c>
      <c r="AN80">
        <v>5.5E-2</v>
      </c>
      <c r="AO80">
        <v>5.7000000000000002E-2</v>
      </c>
    </row>
    <row r="81" spans="1:41" hidden="1">
      <c r="A81">
        <v>79</v>
      </c>
      <c r="B81">
        <v>6.3E-2</v>
      </c>
      <c r="C81" s="1">
        <v>5.7000000000000003E-5</v>
      </c>
      <c r="D81" s="1">
        <v>6.3E-5</v>
      </c>
      <c r="E81" s="1">
        <v>6.0000000000000002E-5</v>
      </c>
      <c r="F81" s="1">
        <v>6.0000000000000002E-5</v>
      </c>
      <c r="I81">
        <v>5.8999999999999997E-2</v>
      </c>
      <c r="J81" s="1">
        <v>5.7000000000000003E-5</v>
      </c>
      <c r="K81" s="1">
        <v>5.5000000000000002E-5</v>
      </c>
      <c r="L81" s="1">
        <v>5.5000000000000002E-5</v>
      </c>
      <c r="M81">
        <v>1.46E-4</v>
      </c>
      <c r="P81">
        <v>8.8999999999999996E-2</v>
      </c>
      <c r="Q81">
        <v>2.7999999999999998E-4</v>
      </c>
      <c r="R81" s="1">
        <v>8.3999999999999995E-5</v>
      </c>
      <c r="S81" s="1">
        <v>8.0000000000000007E-5</v>
      </c>
      <c r="T81" s="1">
        <v>7.8999999999999996E-5</v>
      </c>
      <c r="U81" s="1"/>
      <c r="W81">
        <v>5.5E-2</v>
      </c>
      <c r="X81">
        <v>5.7000000000000002E-2</v>
      </c>
      <c r="Y81">
        <v>5.5E-2</v>
      </c>
      <c r="Z81">
        <v>0.05</v>
      </c>
      <c r="AA81">
        <v>8.609</v>
      </c>
      <c r="AD81">
        <v>0.13100000000000001</v>
      </c>
      <c r="AE81">
        <v>0.32</v>
      </c>
      <c r="AF81">
        <v>5.2999999999999999E-2</v>
      </c>
      <c r="AG81">
        <v>0.224</v>
      </c>
      <c r="AH81">
        <v>5.1999999999999998E-2</v>
      </c>
      <c r="AK81">
        <v>5.5E-2</v>
      </c>
      <c r="AL81">
        <v>0.05</v>
      </c>
      <c r="AM81">
        <v>0.248</v>
      </c>
      <c r="AN81">
        <v>5.2999999999999999E-2</v>
      </c>
      <c r="AO81">
        <v>5.1999999999999998E-2</v>
      </c>
    </row>
    <row r="82" spans="1:41" hidden="1">
      <c r="A82">
        <v>80</v>
      </c>
      <c r="B82">
        <v>5.8000000000000003E-2</v>
      </c>
      <c r="C82" s="1">
        <v>5.8E-5</v>
      </c>
      <c r="D82" s="1">
        <v>5.5000000000000002E-5</v>
      </c>
      <c r="E82" s="1">
        <v>5.5000000000000002E-5</v>
      </c>
      <c r="F82" s="1">
        <v>6.0999999999999999E-5</v>
      </c>
      <c r="I82">
        <v>6.6000000000000003E-2</v>
      </c>
      <c r="J82" s="1">
        <v>6.3999999999999997E-5</v>
      </c>
      <c r="K82" s="1">
        <v>6.0999999999999999E-5</v>
      </c>
      <c r="L82" s="1">
        <v>6.0999999999999999E-5</v>
      </c>
      <c r="M82" s="1">
        <v>6.0000000000000002E-5</v>
      </c>
      <c r="P82">
        <v>8.3000000000000004E-2</v>
      </c>
      <c r="Q82" s="1">
        <v>8.2000000000000001E-5</v>
      </c>
      <c r="R82" s="1">
        <v>7.8999999999999996E-5</v>
      </c>
      <c r="S82" s="1">
        <v>8.7999999999999998E-5</v>
      </c>
      <c r="T82">
        <v>2.3800000000000001E-4</v>
      </c>
      <c r="W82">
        <v>1.2130000000000001</v>
      </c>
      <c r="X82">
        <v>0.1</v>
      </c>
      <c r="Y82">
        <v>0.09</v>
      </c>
      <c r="Z82">
        <v>8.3000000000000004E-2</v>
      </c>
      <c r="AA82">
        <v>8.2000000000000003E-2</v>
      </c>
      <c r="AD82">
        <v>7.0999999999999994E-2</v>
      </c>
      <c r="AE82">
        <v>5.1999999999999998E-2</v>
      </c>
      <c r="AF82">
        <v>5.3999999999999999E-2</v>
      </c>
      <c r="AG82">
        <v>5.6000000000000001E-2</v>
      </c>
      <c r="AH82">
        <v>0.51300000000000001</v>
      </c>
      <c r="AK82">
        <v>5.1999999999999998E-2</v>
      </c>
      <c r="AL82">
        <v>5.0999999999999997E-2</v>
      </c>
      <c r="AM82">
        <v>5.0999999999999997E-2</v>
      </c>
      <c r="AN82">
        <v>5.0999999999999997E-2</v>
      </c>
      <c r="AO82">
        <v>0.05</v>
      </c>
    </row>
    <row r="83" spans="1:41" hidden="1">
      <c r="A83">
        <v>81</v>
      </c>
      <c r="B83">
        <v>6.3E-2</v>
      </c>
      <c r="C83" s="1">
        <v>5.8E-5</v>
      </c>
      <c r="D83" s="1">
        <v>6.2000000000000003E-5</v>
      </c>
      <c r="E83" s="1">
        <v>5.5000000000000002E-5</v>
      </c>
      <c r="F83" s="1">
        <v>5.8999999999999998E-5</v>
      </c>
      <c r="I83">
        <v>5.8000000000000003E-2</v>
      </c>
      <c r="J83" s="1">
        <v>6.3E-5</v>
      </c>
      <c r="K83">
        <v>4.1399999999999998E-4</v>
      </c>
      <c r="L83" s="1">
        <v>6.0000000000000002E-5</v>
      </c>
      <c r="M83" s="1">
        <v>5.8E-5</v>
      </c>
      <c r="P83">
        <v>0.1</v>
      </c>
      <c r="Q83" s="1">
        <v>8.7999999999999998E-5</v>
      </c>
      <c r="R83" s="1">
        <v>8.2000000000000001E-5</v>
      </c>
      <c r="S83" s="1">
        <v>7.8999999999999996E-5</v>
      </c>
      <c r="T83" s="1">
        <v>7.7999999999999999E-5</v>
      </c>
      <c r="U83" s="1"/>
      <c r="W83">
        <v>8.4000000000000005E-2</v>
      </c>
      <c r="X83">
        <v>8.1000000000000003E-2</v>
      </c>
      <c r="Y83">
        <v>9.7000000000000003E-2</v>
      </c>
      <c r="Z83">
        <v>8.3000000000000004E-2</v>
      </c>
      <c r="AA83">
        <v>7.2999999999999995E-2</v>
      </c>
      <c r="AD83">
        <v>5.3999999999999999E-2</v>
      </c>
      <c r="AE83">
        <v>4.9000000000000002E-2</v>
      </c>
      <c r="AF83">
        <v>0.05</v>
      </c>
      <c r="AG83">
        <v>4.9000000000000002E-2</v>
      </c>
      <c r="AH83">
        <v>8.31</v>
      </c>
      <c r="AK83">
        <v>5.0999999999999997E-2</v>
      </c>
      <c r="AL83">
        <v>0.151</v>
      </c>
      <c r="AM83">
        <v>5.0999999999999997E-2</v>
      </c>
      <c r="AN83">
        <v>0.05</v>
      </c>
      <c r="AO83">
        <v>5.0999999999999997E-2</v>
      </c>
    </row>
    <row r="84" spans="1:41" hidden="1">
      <c r="A84">
        <v>82</v>
      </c>
      <c r="B84">
        <v>6.2E-2</v>
      </c>
      <c r="C84" s="1">
        <v>6.2000000000000003E-5</v>
      </c>
      <c r="D84" s="1">
        <v>5.8999999999999998E-5</v>
      </c>
      <c r="E84" s="1">
        <v>5.3999999999999998E-5</v>
      </c>
      <c r="F84" s="1">
        <v>5.5000000000000002E-5</v>
      </c>
      <c r="I84">
        <v>5.8000000000000003E-2</v>
      </c>
      <c r="J84" s="1">
        <v>5.8E-5</v>
      </c>
      <c r="K84">
        <v>6.8400000000000004E-4</v>
      </c>
      <c r="L84" s="1">
        <v>6.0000000000000002E-5</v>
      </c>
      <c r="M84" s="1">
        <v>6.0999999999999999E-5</v>
      </c>
      <c r="P84">
        <v>0.08</v>
      </c>
      <c r="Q84" s="1">
        <v>8.5000000000000006E-5</v>
      </c>
      <c r="R84" s="1">
        <v>7.8999999999999996E-5</v>
      </c>
      <c r="S84">
        <v>1.15E-4</v>
      </c>
      <c r="T84">
        <v>1.1400000000000001E-4</v>
      </c>
      <c r="W84">
        <v>7.2999999999999995E-2</v>
      </c>
      <c r="X84">
        <v>7.5999999999999998E-2</v>
      </c>
      <c r="Y84">
        <v>7.1999999999999995E-2</v>
      </c>
      <c r="Z84">
        <v>7.6999999999999999E-2</v>
      </c>
      <c r="AA84">
        <v>7.1999999999999995E-2</v>
      </c>
      <c r="AD84">
        <v>5.5E-2</v>
      </c>
      <c r="AE84">
        <v>0.05</v>
      </c>
      <c r="AF84">
        <v>5.0999999999999997E-2</v>
      </c>
      <c r="AG84">
        <v>5.0999999999999997E-2</v>
      </c>
      <c r="AH84">
        <v>0.05</v>
      </c>
      <c r="AK84">
        <v>5.0999999999999997E-2</v>
      </c>
      <c r="AL84">
        <v>4.9000000000000002E-2</v>
      </c>
      <c r="AM84">
        <v>0.05</v>
      </c>
      <c r="AN84">
        <v>0.05</v>
      </c>
      <c r="AO84">
        <v>0.309</v>
      </c>
    </row>
    <row r="85" spans="1:41" hidden="1">
      <c r="A85">
        <v>83</v>
      </c>
      <c r="B85">
        <v>5.8000000000000003E-2</v>
      </c>
      <c r="C85" s="1">
        <v>5.7000000000000003E-5</v>
      </c>
      <c r="D85">
        <v>1.0182E-2</v>
      </c>
      <c r="E85">
        <v>7.6599999999999997E-4</v>
      </c>
      <c r="F85" s="1">
        <v>6.3E-5</v>
      </c>
      <c r="I85">
        <v>7.4999999999999997E-2</v>
      </c>
      <c r="J85">
        <v>1.6899999999999999E-4</v>
      </c>
      <c r="K85" s="1">
        <v>5.8E-5</v>
      </c>
      <c r="L85" s="1">
        <v>5.5999999999999999E-5</v>
      </c>
      <c r="M85" s="1">
        <v>5.5999999999999999E-5</v>
      </c>
      <c r="P85">
        <v>8.8999999999999996E-2</v>
      </c>
      <c r="Q85" s="1">
        <v>8.2000000000000001E-5</v>
      </c>
      <c r="R85" s="1">
        <v>7.8999999999999996E-5</v>
      </c>
      <c r="S85">
        <v>1.916E-3</v>
      </c>
      <c r="T85" s="1">
        <v>7.4999999999999993E-5</v>
      </c>
      <c r="U85" s="1"/>
      <c r="W85">
        <v>7.9000000000000001E-2</v>
      </c>
      <c r="X85">
        <v>0.124</v>
      </c>
      <c r="Y85">
        <v>7.2999999999999995E-2</v>
      </c>
      <c r="Z85">
        <v>7.6999999999999999E-2</v>
      </c>
      <c r="AA85">
        <v>7.1999999999999995E-2</v>
      </c>
      <c r="AD85">
        <v>5.0999999999999997E-2</v>
      </c>
      <c r="AE85">
        <v>0.05</v>
      </c>
      <c r="AF85">
        <v>5.2999999999999999E-2</v>
      </c>
      <c r="AG85">
        <v>9.8000000000000004E-2</v>
      </c>
      <c r="AH85">
        <v>5.5E-2</v>
      </c>
      <c r="AK85">
        <v>9.6069999999999993</v>
      </c>
      <c r="AL85">
        <v>5.1999999999999998E-2</v>
      </c>
      <c r="AM85">
        <v>5.1999999999999998E-2</v>
      </c>
      <c r="AN85">
        <v>5.0999999999999997E-2</v>
      </c>
      <c r="AO85">
        <v>5.0999999999999997E-2</v>
      </c>
    </row>
    <row r="86" spans="1:41" hidden="1">
      <c r="A86">
        <v>84</v>
      </c>
      <c r="B86">
        <v>6.6000000000000003E-2</v>
      </c>
      <c r="C86" s="1">
        <v>6.4999999999999994E-5</v>
      </c>
      <c r="D86" s="1">
        <v>6.0000000000000002E-5</v>
      </c>
      <c r="E86" s="1">
        <v>6.0999999999999999E-5</v>
      </c>
      <c r="F86" s="1">
        <v>5.8999999999999998E-5</v>
      </c>
      <c r="I86">
        <v>5.7000000000000002E-2</v>
      </c>
      <c r="J86" s="1">
        <v>5.8E-5</v>
      </c>
      <c r="K86" s="1">
        <v>5.5000000000000002E-5</v>
      </c>
      <c r="L86" s="1">
        <v>5.5000000000000002E-5</v>
      </c>
      <c r="M86">
        <v>2.7399999999999999E-4</v>
      </c>
      <c r="P86">
        <v>8.3000000000000004E-2</v>
      </c>
      <c r="Q86">
        <v>2.05E-4</v>
      </c>
      <c r="R86" s="1">
        <v>7.1000000000000005E-5</v>
      </c>
      <c r="S86">
        <v>1E-4</v>
      </c>
      <c r="T86" s="1">
        <v>8.8999999999999995E-5</v>
      </c>
      <c r="U86" s="1"/>
      <c r="W86">
        <v>8.1000000000000003E-2</v>
      </c>
      <c r="X86">
        <v>7.0999999999999994E-2</v>
      </c>
      <c r="Y86">
        <v>7.0999999999999994E-2</v>
      </c>
      <c r="Z86">
        <v>7.1999999999999995E-2</v>
      </c>
      <c r="AA86">
        <v>7.0999999999999994E-2</v>
      </c>
      <c r="AD86">
        <v>0.193</v>
      </c>
      <c r="AE86">
        <v>5.1999999999999998E-2</v>
      </c>
      <c r="AF86">
        <v>0.05</v>
      </c>
      <c r="AG86">
        <v>0.05</v>
      </c>
      <c r="AH86">
        <v>5.0999999999999997E-2</v>
      </c>
      <c r="AK86">
        <v>5.6000000000000001E-2</v>
      </c>
      <c r="AL86">
        <v>5.3999999999999999E-2</v>
      </c>
      <c r="AM86">
        <v>5.7000000000000002E-2</v>
      </c>
      <c r="AN86">
        <v>5.7000000000000002E-2</v>
      </c>
      <c r="AO86">
        <v>5.5E-2</v>
      </c>
    </row>
    <row r="87" spans="1:41" hidden="1">
      <c r="A87">
        <v>85</v>
      </c>
      <c r="B87">
        <v>6.4000000000000001E-2</v>
      </c>
      <c r="C87" s="1">
        <v>6.3999999999999997E-5</v>
      </c>
      <c r="D87" s="1">
        <v>6.0000000000000002E-5</v>
      </c>
      <c r="E87" s="1">
        <v>6.3999999999999997E-5</v>
      </c>
      <c r="F87" s="1">
        <v>5.3999999999999998E-5</v>
      </c>
      <c r="I87">
        <v>0.06</v>
      </c>
      <c r="J87">
        <v>7.6620000000000004E-3</v>
      </c>
      <c r="K87">
        <v>9.2699999999999998E-4</v>
      </c>
      <c r="L87" s="1">
        <v>5.7000000000000003E-5</v>
      </c>
      <c r="M87" s="1">
        <v>5.5000000000000002E-5</v>
      </c>
      <c r="P87">
        <v>7.9000000000000001E-2</v>
      </c>
      <c r="Q87" s="1">
        <v>7.8999999999999996E-5</v>
      </c>
      <c r="R87" s="1">
        <v>6.9999999999999994E-5</v>
      </c>
      <c r="S87" s="1">
        <v>7.8999999999999996E-5</v>
      </c>
      <c r="T87" s="1">
        <v>7.4999999999999993E-5</v>
      </c>
      <c r="U87" s="1"/>
      <c r="W87">
        <v>13.09</v>
      </c>
      <c r="X87">
        <v>0.10199999999999999</v>
      </c>
      <c r="Y87">
        <v>0.1</v>
      </c>
      <c r="Z87">
        <v>9.8000000000000004E-2</v>
      </c>
      <c r="AA87">
        <v>0.107</v>
      </c>
      <c r="AD87">
        <v>5.1999999999999998E-2</v>
      </c>
      <c r="AE87">
        <v>5.0999999999999997E-2</v>
      </c>
      <c r="AF87">
        <v>5.0999999999999997E-2</v>
      </c>
      <c r="AG87">
        <v>5.0999999999999997E-2</v>
      </c>
      <c r="AH87">
        <v>0.05</v>
      </c>
      <c r="AK87">
        <v>5.0999999999999997E-2</v>
      </c>
      <c r="AL87">
        <v>5.3999999999999999E-2</v>
      </c>
      <c r="AM87">
        <v>0.05</v>
      </c>
      <c r="AN87">
        <v>0.20599999999999999</v>
      </c>
      <c r="AO87">
        <v>0.23799999999999999</v>
      </c>
    </row>
    <row r="88" spans="1:41" hidden="1">
      <c r="A88">
        <v>86</v>
      </c>
      <c r="B88">
        <v>5.8999999999999997E-2</v>
      </c>
      <c r="C88" s="1">
        <v>5.7000000000000003E-5</v>
      </c>
      <c r="D88" s="1">
        <v>6.0000000000000002E-5</v>
      </c>
      <c r="E88" s="1">
        <v>6.0000000000000002E-5</v>
      </c>
      <c r="F88" s="1">
        <v>6.3E-5</v>
      </c>
      <c r="I88">
        <v>5.8999999999999997E-2</v>
      </c>
      <c r="J88" s="1">
        <v>5.7000000000000003E-5</v>
      </c>
      <c r="K88" s="1">
        <v>5.5000000000000002E-5</v>
      </c>
      <c r="L88" s="1">
        <v>6.0000000000000002E-5</v>
      </c>
      <c r="M88" s="1">
        <v>6.3999999999999997E-5</v>
      </c>
      <c r="P88">
        <v>8.8999999999999996E-2</v>
      </c>
      <c r="Q88" s="1">
        <v>7.2999999999999999E-5</v>
      </c>
      <c r="R88" s="1">
        <v>6.3E-5</v>
      </c>
      <c r="S88" s="1">
        <v>6.6000000000000005E-5</v>
      </c>
      <c r="T88" s="1">
        <v>6.3E-5</v>
      </c>
      <c r="U88" s="1"/>
      <c r="W88">
        <v>8.4000000000000005E-2</v>
      </c>
      <c r="X88">
        <v>8.2000000000000003E-2</v>
      </c>
      <c r="Y88">
        <v>8.2000000000000003E-2</v>
      </c>
      <c r="Z88">
        <v>0.17899999999999999</v>
      </c>
      <c r="AA88">
        <v>0.11</v>
      </c>
      <c r="AD88">
        <v>5.0999999999999997E-2</v>
      </c>
      <c r="AE88">
        <v>4.9000000000000002E-2</v>
      </c>
      <c r="AF88">
        <v>4.9000000000000002E-2</v>
      </c>
      <c r="AG88">
        <v>5.0999999999999997E-2</v>
      </c>
      <c r="AH88">
        <v>0.05</v>
      </c>
      <c r="AK88">
        <v>5.3999999999999999E-2</v>
      </c>
      <c r="AL88">
        <v>5.0999999999999997E-2</v>
      </c>
      <c r="AM88">
        <v>5.2999999999999999E-2</v>
      </c>
      <c r="AN88">
        <v>5.5E-2</v>
      </c>
      <c r="AO88">
        <v>5.2999999999999999E-2</v>
      </c>
    </row>
    <row r="89" spans="1:41" hidden="1">
      <c r="A89">
        <v>87</v>
      </c>
      <c r="B89">
        <v>6.4000000000000001E-2</v>
      </c>
      <c r="C89" s="1">
        <v>6.3E-5</v>
      </c>
      <c r="D89" s="1">
        <v>6.0000000000000002E-5</v>
      </c>
      <c r="E89" s="1">
        <v>6.3999999999999997E-5</v>
      </c>
      <c r="F89" s="1">
        <v>5.8999999999999998E-5</v>
      </c>
      <c r="I89">
        <v>5.8000000000000003E-2</v>
      </c>
      <c r="J89" s="1">
        <v>5.7000000000000003E-5</v>
      </c>
      <c r="K89" s="1">
        <v>5.3999999999999998E-5</v>
      </c>
      <c r="L89" s="1">
        <v>5.3999999999999998E-5</v>
      </c>
      <c r="M89">
        <v>4.1469999999999996E-3</v>
      </c>
      <c r="P89">
        <v>6.5000000000000002E-2</v>
      </c>
      <c r="Q89" s="1">
        <v>6.4999999999999994E-5</v>
      </c>
      <c r="R89">
        <v>8.1999999999999998E-4</v>
      </c>
      <c r="S89" s="1">
        <v>7.1000000000000005E-5</v>
      </c>
      <c r="T89" s="1">
        <v>7.1000000000000005E-5</v>
      </c>
      <c r="U89" s="1"/>
      <c r="W89">
        <v>8.8999999999999996E-2</v>
      </c>
      <c r="X89">
        <v>7.1999999999999995E-2</v>
      </c>
      <c r="Y89">
        <v>8.2000000000000003E-2</v>
      </c>
      <c r="Z89">
        <v>7.2999999999999995E-2</v>
      </c>
      <c r="AA89">
        <v>7.9000000000000001E-2</v>
      </c>
      <c r="AD89">
        <v>0.374</v>
      </c>
      <c r="AE89">
        <v>0.46600000000000003</v>
      </c>
      <c r="AF89">
        <v>5.5E-2</v>
      </c>
      <c r="AG89">
        <v>5.0999999999999997E-2</v>
      </c>
      <c r="AH89">
        <v>5.0999999999999997E-2</v>
      </c>
      <c r="AK89">
        <v>5.6000000000000001E-2</v>
      </c>
      <c r="AL89">
        <v>0.05</v>
      </c>
      <c r="AM89">
        <v>5.0999999999999997E-2</v>
      </c>
      <c r="AN89">
        <v>0.05</v>
      </c>
      <c r="AO89">
        <v>0.05</v>
      </c>
    </row>
    <row r="90" spans="1:41" hidden="1">
      <c r="A90">
        <v>88</v>
      </c>
      <c r="B90">
        <v>9.5000000000000001E-2</v>
      </c>
      <c r="C90" s="1">
        <v>6.0999999999999999E-5</v>
      </c>
      <c r="D90" s="1">
        <v>6.0000000000000002E-5</v>
      </c>
      <c r="E90" s="1">
        <v>6.0999999999999999E-5</v>
      </c>
      <c r="F90" s="1">
        <v>5.3999999999999998E-5</v>
      </c>
      <c r="I90">
        <v>6.3E-2</v>
      </c>
      <c r="J90" s="1">
        <v>6.3999999999999997E-5</v>
      </c>
      <c r="K90" s="1">
        <v>5.8999999999999998E-5</v>
      </c>
      <c r="L90" s="1">
        <v>5.8E-5</v>
      </c>
      <c r="M90" s="1">
        <v>6.3E-5</v>
      </c>
      <c r="P90">
        <v>7.0999999999999994E-2</v>
      </c>
      <c r="Q90" s="1">
        <v>6.9999999999999994E-5</v>
      </c>
      <c r="R90" s="1">
        <v>6.3E-5</v>
      </c>
      <c r="S90">
        <v>1.9599999999999999E-4</v>
      </c>
      <c r="T90" s="1">
        <v>6.6000000000000005E-5</v>
      </c>
      <c r="U90" s="1"/>
      <c r="W90">
        <v>7.9000000000000001E-2</v>
      </c>
      <c r="X90">
        <v>7.6999999999999999E-2</v>
      </c>
      <c r="Y90">
        <v>0.24299999999999999</v>
      </c>
      <c r="Z90">
        <v>7.1999999999999995E-2</v>
      </c>
      <c r="AA90">
        <v>0.08</v>
      </c>
      <c r="AD90">
        <v>5.1999999999999998E-2</v>
      </c>
      <c r="AE90">
        <v>7.8310000000000004</v>
      </c>
      <c r="AF90">
        <v>5.3999999999999999E-2</v>
      </c>
      <c r="AG90">
        <v>5.8000000000000003E-2</v>
      </c>
      <c r="AH90">
        <v>5.6000000000000001E-2</v>
      </c>
      <c r="AK90">
        <v>5.0999999999999997E-2</v>
      </c>
      <c r="AL90">
        <v>5.5E-2</v>
      </c>
      <c r="AM90">
        <v>5.5E-2</v>
      </c>
      <c r="AN90">
        <v>0.05</v>
      </c>
      <c r="AO90">
        <v>5.5E-2</v>
      </c>
    </row>
    <row r="91" spans="1:41" hidden="1">
      <c r="A91">
        <v>89</v>
      </c>
      <c r="B91">
        <v>6.2E-2</v>
      </c>
      <c r="C91" s="1">
        <v>6.2000000000000003E-5</v>
      </c>
      <c r="D91" s="1">
        <v>6.0000000000000002E-5</v>
      </c>
      <c r="E91" s="1">
        <v>5.8999999999999998E-5</v>
      </c>
      <c r="F91" s="1">
        <v>6.0000000000000002E-5</v>
      </c>
      <c r="I91">
        <v>6.4000000000000001E-2</v>
      </c>
      <c r="J91" s="1">
        <v>6.4999999999999994E-5</v>
      </c>
      <c r="K91" s="1">
        <v>6.2000000000000003E-5</v>
      </c>
      <c r="L91" s="1">
        <v>7.6000000000000004E-5</v>
      </c>
      <c r="M91">
        <v>1.8100000000000001E-4</v>
      </c>
      <c r="P91">
        <v>0.36899999999999999</v>
      </c>
      <c r="Q91" s="1">
        <v>5.8E-5</v>
      </c>
      <c r="R91" s="1">
        <v>6.0999999999999999E-5</v>
      </c>
      <c r="S91" s="1">
        <v>5.3999999999999998E-5</v>
      </c>
      <c r="T91" s="1">
        <v>5.3999999999999998E-5</v>
      </c>
      <c r="U91" s="1"/>
      <c r="W91">
        <v>8.1000000000000003E-2</v>
      </c>
      <c r="X91">
        <v>7.0999999999999994E-2</v>
      </c>
      <c r="Y91">
        <v>7.0999999999999994E-2</v>
      </c>
      <c r="Z91">
        <v>7.1999999999999995E-2</v>
      </c>
      <c r="AA91">
        <v>7.8E-2</v>
      </c>
      <c r="AD91">
        <v>5.7000000000000002E-2</v>
      </c>
      <c r="AE91">
        <v>5.2999999999999999E-2</v>
      </c>
      <c r="AF91">
        <v>4.9000000000000002E-2</v>
      </c>
      <c r="AG91">
        <v>0.23300000000000001</v>
      </c>
      <c r="AH91">
        <v>0.38900000000000001</v>
      </c>
      <c r="AK91">
        <v>5.7000000000000002E-2</v>
      </c>
      <c r="AL91">
        <v>0.06</v>
      </c>
      <c r="AM91">
        <v>5.8000000000000003E-2</v>
      </c>
      <c r="AN91">
        <v>5.0999999999999997E-2</v>
      </c>
      <c r="AO91">
        <v>5.1999999999999998E-2</v>
      </c>
    </row>
    <row r="92" spans="1:41" hidden="1">
      <c r="A92">
        <v>90</v>
      </c>
      <c r="B92">
        <v>6.2E-2</v>
      </c>
      <c r="C92" s="1">
        <v>6.3E-5</v>
      </c>
      <c r="D92" s="1">
        <v>6.0000000000000002E-5</v>
      </c>
      <c r="E92" s="1">
        <v>5.8999999999999998E-5</v>
      </c>
      <c r="F92" s="1">
        <v>5.8E-5</v>
      </c>
      <c r="I92">
        <v>6.5000000000000002E-2</v>
      </c>
      <c r="J92" s="1">
        <v>6.3E-5</v>
      </c>
      <c r="K92" s="1">
        <v>6.0000000000000002E-5</v>
      </c>
      <c r="L92" s="1">
        <v>6.3E-5</v>
      </c>
      <c r="M92" s="1">
        <v>5.3999999999999998E-5</v>
      </c>
      <c r="P92">
        <v>5.6000000000000001E-2</v>
      </c>
      <c r="Q92" s="1">
        <v>6.3E-5</v>
      </c>
      <c r="R92" s="1">
        <v>6.0000000000000002E-5</v>
      </c>
      <c r="S92" s="1">
        <v>6.0999999999999999E-5</v>
      </c>
      <c r="T92" s="1">
        <v>6.6000000000000005E-5</v>
      </c>
      <c r="U92" s="1"/>
      <c r="W92">
        <v>8.1000000000000003E-2</v>
      </c>
      <c r="X92">
        <v>7.1999999999999995E-2</v>
      </c>
      <c r="Y92">
        <v>7.8E-2</v>
      </c>
      <c r="Z92">
        <v>7.2999999999999995E-2</v>
      </c>
      <c r="AA92">
        <v>7.6999999999999999E-2</v>
      </c>
      <c r="AD92">
        <v>5.6000000000000001E-2</v>
      </c>
      <c r="AE92">
        <v>7.6999999999999999E-2</v>
      </c>
      <c r="AF92">
        <v>8.5000000000000006E-2</v>
      </c>
      <c r="AG92">
        <v>9.2999999999999999E-2</v>
      </c>
      <c r="AH92">
        <v>5.5E-2</v>
      </c>
      <c r="AK92">
        <v>5.1999999999999998E-2</v>
      </c>
      <c r="AL92">
        <v>0.05</v>
      </c>
      <c r="AM92">
        <v>0.34599999999999997</v>
      </c>
      <c r="AN92">
        <v>5.3999999999999999E-2</v>
      </c>
      <c r="AO92">
        <v>5.1999999999999998E-2</v>
      </c>
    </row>
    <row r="93" spans="1:41" hidden="1">
      <c r="A93">
        <v>91</v>
      </c>
      <c r="B93">
        <v>6.3E-2</v>
      </c>
      <c r="C93" s="1">
        <v>5.5999999999999999E-5</v>
      </c>
      <c r="D93" s="1">
        <v>5.5000000000000002E-5</v>
      </c>
      <c r="E93">
        <v>1.1233E-2</v>
      </c>
      <c r="F93">
        <v>2.8800000000000001E-4</v>
      </c>
      <c r="I93">
        <v>6.2E-2</v>
      </c>
      <c r="J93" s="1">
        <v>6.3E-5</v>
      </c>
      <c r="K93" s="1">
        <v>5.8999999999999998E-5</v>
      </c>
      <c r="L93" s="1">
        <v>5.5000000000000002E-5</v>
      </c>
      <c r="M93">
        <v>5.2909999999999997E-3</v>
      </c>
      <c r="P93">
        <v>6.4000000000000001E-2</v>
      </c>
      <c r="Q93" s="1">
        <v>6.3E-5</v>
      </c>
      <c r="R93" s="1">
        <v>5.3000000000000001E-5</v>
      </c>
      <c r="S93" s="1">
        <v>5.3999999999999998E-5</v>
      </c>
      <c r="T93" s="1">
        <v>5.3000000000000001E-5</v>
      </c>
      <c r="U93" s="1"/>
      <c r="W93">
        <v>7.3999999999999996E-2</v>
      </c>
      <c r="X93">
        <v>7.6999999999999999E-2</v>
      </c>
      <c r="Y93">
        <v>7.1999999999999995E-2</v>
      </c>
      <c r="Z93">
        <v>7.8E-2</v>
      </c>
      <c r="AA93">
        <v>0.2</v>
      </c>
      <c r="AD93">
        <v>7.5999999999999998E-2</v>
      </c>
      <c r="AE93">
        <v>5.1999999999999998E-2</v>
      </c>
      <c r="AF93">
        <v>5.0999999999999997E-2</v>
      </c>
      <c r="AG93">
        <v>0.438</v>
      </c>
      <c r="AH93">
        <v>5.3999999999999999E-2</v>
      </c>
      <c r="AK93">
        <v>7.3999999999999996E-2</v>
      </c>
      <c r="AL93">
        <v>7.2999999999999995E-2</v>
      </c>
      <c r="AM93">
        <v>5.1999999999999998E-2</v>
      </c>
      <c r="AN93">
        <v>0.05</v>
      </c>
      <c r="AO93">
        <v>2.2650000000000001</v>
      </c>
    </row>
    <row r="94" spans="1:41" hidden="1">
      <c r="A94">
        <v>92</v>
      </c>
      <c r="B94">
        <v>9.6000000000000002E-2</v>
      </c>
      <c r="C94" s="1">
        <v>5.8E-5</v>
      </c>
      <c r="D94" s="1">
        <v>5.7000000000000003E-5</v>
      </c>
      <c r="E94">
        <v>1.84E-4</v>
      </c>
      <c r="F94" s="1">
        <v>7.4999999999999993E-5</v>
      </c>
      <c r="I94">
        <v>6.5000000000000002E-2</v>
      </c>
      <c r="J94" s="1">
        <v>6.2000000000000003E-5</v>
      </c>
      <c r="K94" s="1">
        <v>5.8999999999999998E-5</v>
      </c>
      <c r="L94" s="1">
        <v>6.0999999999999999E-5</v>
      </c>
      <c r="M94" s="1">
        <v>5.8E-5</v>
      </c>
      <c r="P94">
        <v>5.8000000000000003E-2</v>
      </c>
      <c r="Q94" s="1">
        <v>5.5999999999999999E-5</v>
      </c>
      <c r="R94" s="1">
        <v>5.3999999999999998E-5</v>
      </c>
      <c r="S94">
        <v>6.9199999999999999E-3</v>
      </c>
      <c r="T94">
        <v>9.9700000000000006E-4</v>
      </c>
      <c r="W94">
        <v>7.2999999999999995E-2</v>
      </c>
      <c r="X94">
        <v>0.121</v>
      </c>
      <c r="Y94">
        <v>7.2999999999999995E-2</v>
      </c>
      <c r="Z94">
        <v>7.9000000000000001E-2</v>
      </c>
      <c r="AA94">
        <v>7.3999999999999996E-2</v>
      </c>
      <c r="AD94">
        <v>5.2999999999999999E-2</v>
      </c>
      <c r="AE94">
        <v>5.0999999999999997E-2</v>
      </c>
      <c r="AF94">
        <v>5.0999999999999997E-2</v>
      </c>
      <c r="AG94">
        <v>0.05</v>
      </c>
      <c r="AH94">
        <v>0.05</v>
      </c>
      <c r="AK94">
        <v>6.7000000000000004E-2</v>
      </c>
      <c r="AL94">
        <v>6.3E-2</v>
      </c>
      <c r="AM94">
        <v>5.8999999999999997E-2</v>
      </c>
      <c r="AN94">
        <v>5.8999999999999997E-2</v>
      </c>
      <c r="AO94">
        <v>0.06</v>
      </c>
    </row>
    <row r="95" spans="1:41" hidden="1">
      <c r="A95">
        <v>93</v>
      </c>
      <c r="B95">
        <v>6.2E-2</v>
      </c>
      <c r="C95" s="1">
        <v>6.3E-5</v>
      </c>
      <c r="D95" s="1">
        <v>6.0999999999999999E-5</v>
      </c>
      <c r="E95" s="1">
        <v>5.8999999999999998E-5</v>
      </c>
      <c r="F95" s="1">
        <v>5.8E-5</v>
      </c>
      <c r="I95">
        <v>6.0999999999999999E-2</v>
      </c>
      <c r="J95" s="1">
        <v>6.0999999999999999E-5</v>
      </c>
      <c r="K95" s="1">
        <v>6.3E-5</v>
      </c>
      <c r="L95" s="1">
        <v>5.3999999999999998E-5</v>
      </c>
      <c r="M95" s="1">
        <v>5.3999999999999998E-5</v>
      </c>
      <c r="P95">
        <v>5.8999999999999997E-2</v>
      </c>
      <c r="Q95" s="1">
        <v>9.2E-5</v>
      </c>
      <c r="R95">
        <v>2.1970000000000002E-3</v>
      </c>
      <c r="S95" s="1">
        <v>5.5999999999999999E-5</v>
      </c>
      <c r="T95" s="1">
        <v>5.5000000000000002E-5</v>
      </c>
      <c r="U95" s="1"/>
      <c r="W95">
        <v>8.1000000000000003E-2</v>
      </c>
      <c r="X95">
        <v>7.0999999999999994E-2</v>
      </c>
      <c r="Y95">
        <v>7.5999999999999998E-2</v>
      </c>
      <c r="Z95">
        <v>7.0999999999999994E-2</v>
      </c>
      <c r="AA95">
        <v>2.1880000000000002</v>
      </c>
      <c r="AD95">
        <v>5.0999999999999997E-2</v>
      </c>
      <c r="AE95">
        <v>0.16500000000000001</v>
      </c>
      <c r="AF95">
        <v>0.14099999999999999</v>
      </c>
      <c r="AG95">
        <v>5.3999999999999999E-2</v>
      </c>
      <c r="AH95">
        <v>7.9000000000000001E-2</v>
      </c>
      <c r="AK95">
        <v>5.6000000000000001E-2</v>
      </c>
      <c r="AL95">
        <v>5.1999999999999998E-2</v>
      </c>
      <c r="AM95">
        <v>5.1999999999999998E-2</v>
      </c>
      <c r="AN95">
        <v>5.0999999999999997E-2</v>
      </c>
      <c r="AO95">
        <v>5.0999999999999997E-2</v>
      </c>
    </row>
    <row r="96" spans="1:41" hidden="1">
      <c r="A96">
        <v>94</v>
      </c>
      <c r="B96">
        <v>6.3E-2</v>
      </c>
      <c r="C96" s="1">
        <v>6.3E-5</v>
      </c>
      <c r="D96" s="1">
        <v>6.3E-5</v>
      </c>
      <c r="E96" s="1">
        <v>5.8999999999999998E-5</v>
      </c>
      <c r="F96" s="1">
        <v>6.0999999999999999E-5</v>
      </c>
      <c r="I96">
        <v>5.7000000000000002E-2</v>
      </c>
      <c r="J96" s="1">
        <v>6.2000000000000003E-5</v>
      </c>
      <c r="K96" s="1">
        <v>5.8999999999999998E-5</v>
      </c>
      <c r="L96" s="1">
        <v>5.8999999999999998E-5</v>
      </c>
      <c r="M96" s="1">
        <v>6.2000000000000003E-5</v>
      </c>
      <c r="P96">
        <v>5.8000000000000003E-2</v>
      </c>
      <c r="Q96" s="1">
        <v>6.0000000000000002E-5</v>
      </c>
      <c r="R96" s="1">
        <v>5.5999999999999999E-5</v>
      </c>
      <c r="S96" s="1">
        <v>6.0999999999999999E-5</v>
      </c>
      <c r="T96" s="1">
        <v>5.8999999999999998E-5</v>
      </c>
      <c r="U96" s="1"/>
      <c r="W96">
        <v>7.4999999999999997E-2</v>
      </c>
      <c r="X96">
        <v>7.4999999999999997E-2</v>
      </c>
      <c r="Y96">
        <v>6.5000000000000002E-2</v>
      </c>
      <c r="Z96">
        <v>7.0000000000000007E-2</v>
      </c>
      <c r="AA96">
        <v>6.4000000000000001E-2</v>
      </c>
      <c r="AD96">
        <v>9.6000000000000002E-2</v>
      </c>
      <c r="AE96">
        <v>0.112</v>
      </c>
      <c r="AF96">
        <v>5.1999999999999998E-2</v>
      </c>
      <c r="AG96">
        <v>5.3999999999999999E-2</v>
      </c>
      <c r="AH96">
        <v>5.5E-2</v>
      </c>
      <c r="AK96">
        <v>5.1999999999999998E-2</v>
      </c>
      <c r="AL96">
        <v>5.3999999999999999E-2</v>
      </c>
      <c r="AM96">
        <v>5.5E-2</v>
      </c>
      <c r="AN96">
        <v>5.0999999999999997E-2</v>
      </c>
      <c r="AO96">
        <v>3.4159999999999999</v>
      </c>
    </row>
    <row r="97" spans="1:41" hidden="1">
      <c r="A97">
        <v>95</v>
      </c>
      <c r="B97">
        <v>6.3E-2</v>
      </c>
      <c r="C97" s="1">
        <v>6.0999999999999999E-5</v>
      </c>
      <c r="D97" s="1">
        <v>5.5000000000000002E-5</v>
      </c>
      <c r="E97" s="1">
        <v>5.3999999999999998E-5</v>
      </c>
      <c r="F97" s="1">
        <v>5.8E-5</v>
      </c>
      <c r="I97">
        <v>6.2E-2</v>
      </c>
      <c r="J97" s="1">
        <v>6.3E-5</v>
      </c>
      <c r="K97" s="1">
        <v>6.2000000000000003E-5</v>
      </c>
      <c r="L97" s="1">
        <v>5.8999999999999998E-5</v>
      </c>
      <c r="M97" s="1">
        <v>5.3999999999999998E-5</v>
      </c>
      <c r="P97">
        <v>6.5000000000000002E-2</v>
      </c>
      <c r="Q97" s="1">
        <v>5.7000000000000003E-5</v>
      </c>
      <c r="R97" s="1">
        <v>6.2000000000000003E-5</v>
      </c>
      <c r="S97" s="1">
        <v>5.8999999999999998E-5</v>
      </c>
      <c r="T97" s="1">
        <v>5.8E-5</v>
      </c>
      <c r="U97" s="1"/>
      <c r="W97">
        <v>7.0000000000000007E-2</v>
      </c>
      <c r="X97">
        <v>6.8000000000000005E-2</v>
      </c>
      <c r="Y97">
        <v>0.28100000000000003</v>
      </c>
      <c r="Z97">
        <v>6.6000000000000003E-2</v>
      </c>
      <c r="AA97">
        <v>7.0999999999999994E-2</v>
      </c>
      <c r="AD97">
        <v>5.3999999999999999E-2</v>
      </c>
      <c r="AE97">
        <v>0.05</v>
      </c>
      <c r="AF97">
        <v>5.0999999999999997E-2</v>
      </c>
      <c r="AG97">
        <v>5.0999999999999997E-2</v>
      </c>
      <c r="AH97">
        <v>5.1999999999999998E-2</v>
      </c>
      <c r="AK97">
        <v>5.3999999999999999E-2</v>
      </c>
      <c r="AL97">
        <v>0.05</v>
      </c>
      <c r="AM97">
        <v>5.0999999999999997E-2</v>
      </c>
      <c r="AN97">
        <v>0.05</v>
      </c>
      <c r="AO97">
        <v>0.05</v>
      </c>
    </row>
    <row r="98" spans="1:41">
      <c r="A98">
        <v>96</v>
      </c>
      <c r="B98">
        <v>6.5000000000000002E-2</v>
      </c>
      <c r="C98" s="1">
        <v>6.2000000000000003E-5</v>
      </c>
      <c r="D98" s="1">
        <v>6.0000000000000002E-5</v>
      </c>
      <c r="E98" s="1">
        <v>6.0000000000000002E-5</v>
      </c>
      <c r="F98" s="1">
        <v>5.8E-5</v>
      </c>
      <c r="I98">
        <v>0.245</v>
      </c>
      <c r="J98">
        <v>5.1199999999999998E-4</v>
      </c>
      <c r="K98" s="1">
        <v>5.8999999999999998E-5</v>
      </c>
      <c r="L98" s="1">
        <v>5.5000000000000002E-5</v>
      </c>
      <c r="M98" s="1">
        <v>5.5999999999999999E-5</v>
      </c>
      <c r="P98">
        <v>0.18099999999999999</v>
      </c>
      <c r="Q98" s="1">
        <v>7.2999999999999999E-5</v>
      </c>
      <c r="R98" s="1">
        <v>9.3999999999999994E-5</v>
      </c>
      <c r="S98" s="1">
        <v>6.0000000000000002E-5</v>
      </c>
      <c r="T98" s="1">
        <v>7.1000000000000005E-5</v>
      </c>
      <c r="U98" s="1"/>
      <c r="W98">
        <v>7.1999999999999995E-2</v>
      </c>
      <c r="X98">
        <v>6.9000000000000006E-2</v>
      </c>
      <c r="Y98">
        <v>6.9000000000000006E-2</v>
      </c>
      <c r="Z98">
        <v>7.0000000000000007E-2</v>
      </c>
      <c r="AA98">
        <v>6.9000000000000006E-2</v>
      </c>
      <c r="AD98">
        <v>5.0999999999999997E-2</v>
      </c>
      <c r="AE98">
        <v>0.05</v>
      </c>
      <c r="AF98">
        <v>1.0580000000000001</v>
      </c>
      <c r="AG98">
        <v>5.8000000000000003E-2</v>
      </c>
      <c r="AH98">
        <v>5.0999999999999997E-2</v>
      </c>
      <c r="AK98">
        <v>5.0999999999999997E-2</v>
      </c>
      <c r="AL98">
        <v>5.2999999999999999E-2</v>
      </c>
      <c r="AM98">
        <v>5.8999999999999997E-2</v>
      </c>
      <c r="AN98">
        <v>5.3999999999999999E-2</v>
      </c>
      <c r="AO98">
        <v>5.6000000000000001E-2</v>
      </c>
    </row>
    <row r="99" spans="1:41">
      <c r="A99">
        <v>97</v>
      </c>
      <c r="B99">
        <v>6.3E-2</v>
      </c>
      <c r="C99" s="1">
        <v>6.2000000000000003E-5</v>
      </c>
      <c r="D99" s="1">
        <v>6.2000000000000003E-5</v>
      </c>
      <c r="E99" s="1">
        <v>5.8999999999999998E-5</v>
      </c>
      <c r="F99" s="1">
        <v>5.8E-5</v>
      </c>
      <c r="I99">
        <v>5.8000000000000003E-2</v>
      </c>
      <c r="J99" s="1">
        <v>7.2000000000000002E-5</v>
      </c>
      <c r="K99" s="1">
        <v>5.5000000000000002E-5</v>
      </c>
      <c r="L99" s="1">
        <v>5.5999999999999999E-5</v>
      </c>
      <c r="M99">
        <v>1.93E-4</v>
      </c>
      <c r="P99">
        <v>0.16500000000000001</v>
      </c>
      <c r="Q99" s="1">
        <v>5.8999999999999998E-5</v>
      </c>
      <c r="R99" s="1">
        <v>6.0999999999999999E-5</v>
      </c>
      <c r="S99">
        <v>1.4300000000000001E-4</v>
      </c>
      <c r="T99" s="1">
        <v>5.5999999999999999E-5</v>
      </c>
      <c r="U99" s="1"/>
      <c r="W99">
        <v>7.1999999999999995E-2</v>
      </c>
      <c r="X99">
        <v>0.17199999999999999</v>
      </c>
      <c r="Y99">
        <v>6.4000000000000001E-2</v>
      </c>
      <c r="Z99">
        <v>6.4000000000000001E-2</v>
      </c>
      <c r="AA99">
        <v>0.75700000000000001</v>
      </c>
      <c r="AD99">
        <v>5.0999999999999997E-2</v>
      </c>
      <c r="AE99">
        <v>8.3330000000000002</v>
      </c>
      <c r="AF99">
        <v>5.2999999999999999E-2</v>
      </c>
      <c r="AG99">
        <v>5.1999999999999998E-2</v>
      </c>
      <c r="AH99">
        <v>5.7000000000000002E-2</v>
      </c>
      <c r="AK99">
        <v>5.6000000000000001E-2</v>
      </c>
      <c r="AL99">
        <v>5.6000000000000001E-2</v>
      </c>
      <c r="AM99">
        <v>5.5E-2</v>
      </c>
      <c r="AN99">
        <v>5.0999999999999997E-2</v>
      </c>
      <c r="AO99">
        <v>5.0999999999999997E-2</v>
      </c>
    </row>
    <row r="100" spans="1:41">
      <c r="A100">
        <v>98</v>
      </c>
      <c r="B100">
        <v>6.4000000000000001E-2</v>
      </c>
      <c r="C100" s="1">
        <v>6.0999999999999999E-5</v>
      </c>
      <c r="D100" s="1">
        <v>6.3E-5</v>
      </c>
      <c r="E100" s="1">
        <v>5.3000000000000001E-5</v>
      </c>
      <c r="F100" s="1">
        <v>6.0000000000000002E-5</v>
      </c>
      <c r="I100">
        <v>0.06</v>
      </c>
      <c r="J100" s="1">
        <v>9.3999999999999994E-5</v>
      </c>
      <c r="K100" s="1">
        <v>7.7999999999999999E-5</v>
      </c>
      <c r="L100" s="1">
        <v>6.0000000000000002E-5</v>
      </c>
      <c r="M100" s="1">
        <v>5.3999999999999998E-5</v>
      </c>
      <c r="P100">
        <v>7.6999999999999999E-2</v>
      </c>
      <c r="Q100" s="1">
        <v>7.7000000000000001E-5</v>
      </c>
      <c r="R100" s="1">
        <v>7.7999999999999999E-5</v>
      </c>
      <c r="S100" s="1">
        <v>5.8E-5</v>
      </c>
      <c r="T100" s="1">
        <v>5.3999999999999998E-5</v>
      </c>
      <c r="U100" s="1"/>
      <c r="W100">
        <v>6.0999999999999999E-2</v>
      </c>
      <c r="X100">
        <v>6.2E-2</v>
      </c>
      <c r="Y100">
        <v>6.5000000000000002E-2</v>
      </c>
      <c r="Z100">
        <v>6.4000000000000001E-2</v>
      </c>
      <c r="AA100">
        <v>6.0999999999999999E-2</v>
      </c>
      <c r="AD100">
        <v>5.7000000000000002E-2</v>
      </c>
      <c r="AE100">
        <v>5.3999999999999999E-2</v>
      </c>
      <c r="AF100">
        <v>5.3999999999999999E-2</v>
      </c>
      <c r="AG100">
        <v>5.8999999999999997E-2</v>
      </c>
      <c r="AH100">
        <v>5.8000000000000003E-2</v>
      </c>
      <c r="AK100">
        <v>5.1999999999999998E-2</v>
      </c>
      <c r="AL100">
        <v>1.5049999999999999</v>
      </c>
      <c r="AM100">
        <v>5.0999999999999997E-2</v>
      </c>
      <c r="AN100">
        <v>8.5999999999999993E-2</v>
      </c>
      <c r="AO100">
        <v>5.8999999999999997E-2</v>
      </c>
    </row>
    <row r="101" spans="1:41">
      <c r="A101">
        <v>99</v>
      </c>
      <c r="B101">
        <v>5.6000000000000001E-2</v>
      </c>
      <c r="C101" s="1">
        <v>5.7000000000000003E-5</v>
      </c>
      <c r="D101" s="1">
        <v>5.5000000000000002E-5</v>
      </c>
      <c r="E101" s="1">
        <v>5.5000000000000002E-5</v>
      </c>
      <c r="F101" s="1">
        <v>5.3999999999999998E-5</v>
      </c>
      <c r="I101">
        <v>5.8000000000000003E-2</v>
      </c>
      <c r="J101" s="1">
        <v>5.8E-5</v>
      </c>
      <c r="K101" s="1">
        <v>6.0999999999999999E-5</v>
      </c>
      <c r="L101" s="1">
        <v>5.5000000000000002E-5</v>
      </c>
      <c r="M101" s="1">
        <v>5.3999999999999998E-5</v>
      </c>
      <c r="P101">
        <v>5.7000000000000002E-2</v>
      </c>
      <c r="Q101" s="1">
        <v>5.5999999999999999E-5</v>
      </c>
      <c r="R101" s="1">
        <v>5.5999999999999999E-5</v>
      </c>
      <c r="S101" s="1">
        <v>5.3999999999999998E-5</v>
      </c>
      <c r="T101" s="1">
        <v>5.3999999999999998E-5</v>
      </c>
      <c r="U101" s="1"/>
      <c r="W101">
        <v>6.3E-2</v>
      </c>
      <c r="X101">
        <v>7.05</v>
      </c>
      <c r="Y101">
        <v>6.0999999999999999E-2</v>
      </c>
      <c r="Z101">
        <v>6.3E-2</v>
      </c>
      <c r="AA101">
        <v>6.2E-2</v>
      </c>
      <c r="AD101">
        <v>5.6000000000000001E-2</v>
      </c>
      <c r="AE101">
        <v>4.9000000000000002E-2</v>
      </c>
      <c r="AF101">
        <v>0.05</v>
      </c>
      <c r="AG101">
        <v>0.23899999999999999</v>
      </c>
      <c r="AH101">
        <v>7.3999999999999996E-2</v>
      </c>
      <c r="AK101">
        <v>5.8000000000000003E-2</v>
      </c>
      <c r="AL101">
        <v>5.0999999999999997E-2</v>
      </c>
      <c r="AM101">
        <v>11.443</v>
      </c>
      <c r="AN101">
        <v>5.3999999999999999E-2</v>
      </c>
      <c r="AO101">
        <v>5.1999999999999998E-2</v>
      </c>
    </row>
    <row r="102" spans="1:41">
      <c r="A102">
        <v>100</v>
      </c>
      <c r="B102">
        <v>5.8999999999999997E-2</v>
      </c>
      <c r="C102" s="1">
        <v>6.0999999999999999E-5</v>
      </c>
      <c r="D102" s="1">
        <v>6.2000000000000003E-5</v>
      </c>
      <c r="E102" s="1">
        <v>5.8999999999999998E-5</v>
      </c>
      <c r="F102" s="1">
        <v>5.8E-5</v>
      </c>
      <c r="I102">
        <v>5.7000000000000002E-2</v>
      </c>
      <c r="J102" s="1">
        <v>6.0000000000000002E-5</v>
      </c>
      <c r="K102" s="1">
        <v>5.5000000000000002E-5</v>
      </c>
      <c r="L102" s="1">
        <v>5.5000000000000002E-5</v>
      </c>
      <c r="M102" s="1">
        <v>5.3000000000000001E-5</v>
      </c>
      <c r="P102">
        <v>5.8000000000000003E-2</v>
      </c>
      <c r="Q102" s="1">
        <v>5.8E-5</v>
      </c>
      <c r="R102">
        <v>4.66E-4</v>
      </c>
      <c r="S102" s="1">
        <v>5.7000000000000003E-5</v>
      </c>
      <c r="T102" s="1">
        <v>5.3999999999999998E-5</v>
      </c>
      <c r="U102" s="1"/>
      <c r="W102">
        <v>5.0999999999999997E-2</v>
      </c>
      <c r="X102">
        <v>3.1579999999999999</v>
      </c>
      <c r="Y102">
        <v>5.8999999999999997E-2</v>
      </c>
      <c r="Z102">
        <v>5.1999999999999998E-2</v>
      </c>
      <c r="AA102">
        <v>5.6000000000000001E-2</v>
      </c>
      <c r="AD102">
        <v>0.09</v>
      </c>
      <c r="AE102">
        <v>5.5E-2</v>
      </c>
      <c r="AF102">
        <v>5.3999999999999999E-2</v>
      </c>
      <c r="AG102">
        <v>0.129</v>
      </c>
      <c r="AH102">
        <v>0.05</v>
      </c>
      <c r="AK102">
        <v>5.2999999999999999E-2</v>
      </c>
      <c r="AL102">
        <v>5.5E-2</v>
      </c>
      <c r="AM102">
        <v>5.5E-2</v>
      </c>
      <c r="AN102">
        <v>5.5E-2</v>
      </c>
      <c r="AO102">
        <v>5.6000000000000001E-2</v>
      </c>
    </row>
    <row r="105" spans="1:41" ht="16" thickBot="1">
      <c r="A105" s="35" t="s">
        <v>25</v>
      </c>
      <c r="B105" s="36" t="s">
        <v>0</v>
      </c>
      <c r="C105" s="36" t="s">
        <v>1</v>
      </c>
      <c r="D105" s="37" t="s">
        <v>2</v>
      </c>
      <c r="E105" s="37" t="s">
        <v>3</v>
      </c>
      <c r="F105" s="38" t="s">
        <v>4</v>
      </c>
      <c r="G105" s="27"/>
      <c r="H105" s="35" t="s">
        <v>25</v>
      </c>
      <c r="I105" s="35" t="s">
        <v>0</v>
      </c>
      <c r="J105" s="35" t="s">
        <v>1</v>
      </c>
      <c r="K105" s="39" t="s">
        <v>2</v>
      </c>
      <c r="L105" s="39" t="s">
        <v>3</v>
      </c>
      <c r="M105" s="40" t="s">
        <v>4</v>
      </c>
      <c r="N105" s="26"/>
      <c r="O105" s="35" t="s">
        <v>25</v>
      </c>
      <c r="P105" s="35" t="s">
        <v>0</v>
      </c>
      <c r="Q105" s="35" t="s">
        <v>1</v>
      </c>
      <c r="R105" s="39" t="s">
        <v>2</v>
      </c>
      <c r="S105" s="39" t="s">
        <v>3</v>
      </c>
      <c r="T105" s="40" t="s">
        <v>4</v>
      </c>
      <c r="U105" s="26"/>
      <c r="V105" s="35" t="s">
        <v>25</v>
      </c>
      <c r="W105" s="35" t="s">
        <v>0</v>
      </c>
      <c r="X105" s="35" t="s">
        <v>1</v>
      </c>
      <c r="Y105" s="39" t="s">
        <v>2</v>
      </c>
      <c r="Z105" s="39" t="s">
        <v>3</v>
      </c>
      <c r="AA105" s="40" t="s">
        <v>4</v>
      </c>
      <c r="AB105" s="26"/>
      <c r="AC105" s="35" t="s">
        <v>25</v>
      </c>
      <c r="AD105" s="35" t="s">
        <v>0</v>
      </c>
      <c r="AE105" s="35" t="s">
        <v>1</v>
      </c>
      <c r="AF105" s="39" t="s">
        <v>2</v>
      </c>
      <c r="AG105" s="39" t="s">
        <v>3</v>
      </c>
      <c r="AH105" s="40" t="s">
        <v>4</v>
      </c>
      <c r="AI105" s="26"/>
      <c r="AJ105" s="35" t="s">
        <v>25</v>
      </c>
      <c r="AK105" s="35" t="s">
        <v>0</v>
      </c>
      <c r="AL105" s="35" t="s">
        <v>1</v>
      </c>
      <c r="AM105" s="39" t="s">
        <v>2</v>
      </c>
      <c r="AN105" s="39" t="s">
        <v>3</v>
      </c>
      <c r="AO105" s="40" t="s">
        <v>4</v>
      </c>
    </row>
    <row r="106" spans="1:41" ht="16" thickTop="1">
      <c r="A106" s="28" t="s">
        <v>8</v>
      </c>
      <c r="B106" s="29">
        <f>AVERAGE(Encrypt16x3266[ECB])</f>
        <v>0.22773999999999997</v>
      </c>
      <c r="C106" s="29">
        <f>AVERAGE(Encrypt16x3266[CBC])</f>
        <v>3.8475000000000022E-4</v>
      </c>
      <c r="D106" s="29">
        <f>AVERAGE(Encrypt16x3266[OFB])</f>
        <v>3.9504999999999993E-4</v>
      </c>
      <c r="E106" s="29">
        <f>AVERAGE(Encrypt16x3266[CFB])</f>
        <v>4.7918999999999946E-4</v>
      </c>
      <c r="F106" s="29">
        <f>AVERAGE(Encrypt16x3266[CTR])</f>
        <v>3.6836999999999959E-4</v>
      </c>
      <c r="G106" s="26"/>
      <c r="H106" s="28" t="s">
        <v>8</v>
      </c>
      <c r="I106" s="29">
        <f>AVERAGE(Encrypt24x3267[ECB])</f>
        <v>0.33836999999999995</v>
      </c>
      <c r="J106" s="29">
        <f>AVERAGE(Encrypt24x3267[CBC])</f>
        <v>3.4754000000000013E-4</v>
      </c>
      <c r="K106" s="29">
        <f>AVERAGE(Encrypt24x3267[OFB])</f>
        <v>3.9676999999999969E-4</v>
      </c>
      <c r="L106" s="29">
        <f>AVERAGE(Encrypt24x3267[CFB])</f>
        <v>1.0963999999999999E-4</v>
      </c>
      <c r="M106" s="29">
        <f>AVERAGE(Encrypt24x3267[CTR])</f>
        <v>2.7651999999999977E-4</v>
      </c>
      <c r="N106" s="26"/>
      <c r="O106" s="28" t="s">
        <v>8</v>
      </c>
      <c r="P106" s="29">
        <f>AVERAGE(Encrypt32x3268[ECB])</f>
        <v>0.27750999999999987</v>
      </c>
      <c r="Q106" s="29">
        <f>AVERAGE(Encrypt32x3268[CBC])</f>
        <v>3.6337000000000028E-4</v>
      </c>
      <c r="R106" s="29">
        <f>AVERAGE(Encrypt32x3268[OFB])</f>
        <v>1.7225000000000001E-4</v>
      </c>
      <c r="S106" s="29">
        <f>AVERAGE(Encrypt32x3268[CFB])</f>
        <v>2.6622000000000001E-4</v>
      </c>
      <c r="T106" s="29">
        <f>AVERAGE(Encrypt32x3268[CTR])</f>
        <v>5.1543999999999993E-4</v>
      </c>
      <c r="U106" s="26"/>
      <c r="V106" s="28" t="s">
        <v>8</v>
      </c>
      <c r="W106" s="29">
        <f>AVERAGE(Decrypt16x3269[ECB])</f>
        <v>0.50361000000000045</v>
      </c>
      <c r="X106" s="29">
        <f>AVERAGE(Decrypt16x3269[CBC])</f>
        <v>0.30381000000000002</v>
      </c>
      <c r="Y106" s="29">
        <f>AVERAGE(Decrypt16x3269[OFB])</f>
        <v>0.18367000000000008</v>
      </c>
      <c r="Z106" s="29">
        <f>AVERAGE(Decrypt16x3269[CFB])</f>
        <v>0.31398999999999982</v>
      </c>
      <c r="AA106" s="29">
        <f>AVERAGE(Decrypt16x3269[CTR])</f>
        <v>0.27209000000000005</v>
      </c>
      <c r="AB106" s="26"/>
      <c r="AC106" s="28" t="s">
        <v>8</v>
      </c>
      <c r="AD106" s="29">
        <f>AVERAGE(Decrypt24x3270[ECB])</f>
        <v>0.22725999999999991</v>
      </c>
      <c r="AE106" s="29">
        <f>AVERAGE(Decrypt24x3270[CBC])</f>
        <v>0.35831999999999992</v>
      </c>
      <c r="AF106" s="29">
        <f>AVERAGE(Decrypt24x3270[OFB])</f>
        <v>0.43221999999999999</v>
      </c>
      <c r="AG106" s="29">
        <f>AVERAGE(Decrypt24x3270[CFB])</f>
        <v>7.8419999999999976E-2</v>
      </c>
      <c r="AH106" s="29">
        <f>AVERAGE(Decrypt24x3270[CTR])</f>
        <v>0.30930999999999981</v>
      </c>
      <c r="AI106" s="26"/>
      <c r="AJ106" s="28" t="s">
        <v>8</v>
      </c>
      <c r="AK106" s="29">
        <f>AVERAGE(Decrypt32x3271[ECB])</f>
        <v>0.35790999999999962</v>
      </c>
      <c r="AL106" s="29">
        <f>AVERAGE(Decrypt32x3271[CBC])</f>
        <v>0.31162999999999985</v>
      </c>
      <c r="AM106" s="29">
        <f>AVERAGE(Decrypt32x3271[OFB])</f>
        <v>0.37636999999999998</v>
      </c>
      <c r="AN106" s="29">
        <f>AVERAGE(Decrypt32x3271[CFB])</f>
        <v>0.17847999999999994</v>
      </c>
      <c r="AO106" s="29">
        <f>AVERAGE(Decrypt32x3271[CTR])</f>
        <v>0.35494999999999971</v>
      </c>
    </row>
    <row r="107" spans="1:41">
      <c r="A107" s="30" t="s">
        <v>10</v>
      </c>
      <c r="B107" s="29">
        <f>MIN(Encrypt16x3266[ECB])</f>
        <v>5.6000000000000001E-2</v>
      </c>
      <c r="C107" s="29">
        <f>MIN(Encrypt16x3266[CBC])</f>
        <v>5.5999999999999999E-5</v>
      </c>
      <c r="D107" s="29">
        <f>MIN(Encrypt16x3266[OFB])</f>
        <v>5.3999999999999998E-5</v>
      </c>
      <c r="E107" s="29">
        <f>MIN(Encrypt16x3266[CFB])</f>
        <v>5.3000000000000001E-5</v>
      </c>
      <c r="F107" s="29">
        <f>MIN(Encrypt16x3266[CTR])</f>
        <v>5.3999999999999998E-5</v>
      </c>
      <c r="G107" s="26"/>
      <c r="H107" s="31" t="s">
        <v>10</v>
      </c>
      <c r="I107" s="29">
        <f>MIN(Encrypt24x3267[ECB])</f>
        <v>5.5E-2</v>
      </c>
      <c r="J107" s="29">
        <f>MIN(Encrypt24x3267[CBC])</f>
        <v>5.5999999999999999E-5</v>
      </c>
      <c r="K107" s="29">
        <f>MIN(Encrypt24x3267[OFB])</f>
        <v>5.3999999999999998E-5</v>
      </c>
      <c r="L107" s="29">
        <f>MIN(Encrypt24x3267[CFB])</f>
        <v>5.3999999999999998E-5</v>
      </c>
      <c r="M107" s="29">
        <f>MIN(Encrypt24x3267[CTR])</f>
        <v>5.3000000000000001E-5</v>
      </c>
      <c r="N107" s="26"/>
      <c r="O107" s="31" t="s">
        <v>10</v>
      </c>
      <c r="P107" s="29">
        <f>MIN(Encrypt32x3268[ECB])</f>
        <v>5.6000000000000001E-2</v>
      </c>
      <c r="Q107" s="29">
        <f>MIN(Encrypt32x3268[CBC])</f>
        <v>5.5999999999999999E-5</v>
      </c>
      <c r="R107" s="29">
        <f>MIN(Encrypt32x3268[OFB])</f>
        <v>5.3000000000000001E-5</v>
      </c>
      <c r="S107" s="29">
        <f>MIN(Encrypt32x3268[CFB])</f>
        <v>5.3999999999999998E-5</v>
      </c>
      <c r="T107" s="29">
        <f>MIN(Encrypt32x3268[CTR])</f>
        <v>5.3000000000000001E-5</v>
      </c>
      <c r="U107" s="26"/>
      <c r="V107" s="30" t="s">
        <v>10</v>
      </c>
      <c r="W107" s="29">
        <f>MIN(Decrypt16x3269[ECB])</f>
        <v>0.05</v>
      </c>
      <c r="X107" s="29">
        <f>MIN(Decrypt16x3269[CBC])</f>
        <v>4.8000000000000001E-2</v>
      </c>
      <c r="Y107" s="29">
        <f>MIN(Decrypt16x3269[OFB])</f>
        <v>4.9000000000000002E-2</v>
      </c>
      <c r="Z107" s="29">
        <f>MIN(Decrypt16x3269[CFB])</f>
        <v>0.05</v>
      </c>
      <c r="AA107" s="29">
        <f>MIN(Decrypt16x3269[CTR])</f>
        <v>4.9000000000000002E-2</v>
      </c>
      <c r="AB107" s="26"/>
      <c r="AC107" s="31" t="s">
        <v>10</v>
      </c>
      <c r="AD107" s="29">
        <f>MIN(Decrypt24x3270[ECB])</f>
        <v>0.05</v>
      </c>
      <c r="AE107" s="29">
        <f>MIN(Decrypt24x3270[CBC])</f>
        <v>4.8000000000000001E-2</v>
      </c>
      <c r="AF107" s="29">
        <f>MIN(Decrypt24x3270[OFB])</f>
        <v>4.9000000000000002E-2</v>
      </c>
      <c r="AG107" s="29">
        <f>MIN(Decrypt24x3270[CFB])</f>
        <v>4.9000000000000002E-2</v>
      </c>
      <c r="AH107" s="29">
        <f>MIN(Decrypt24x3270[CTR])</f>
        <v>4.9000000000000002E-2</v>
      </c>
      <c r="AI107" s="26"/>
      <c r="AJ107" s="31" t="s">
        <v>10</v>
      </c>
      <c r="AK107" s="29">
        <f>MIN(Decrypt32x3271[ECB])</f>
        <v>5.0999999999999997E-2</v>
      </c>
      <c r="AL107" s="29">
        <f>MIN(Decrypt32x3271[CBC])</f>
        <v>4.9000000000000002E-2</v>
      </c>
      <c r="AM107" s="29">
        <f>MIN(Decrypt32x3271[OFB])</f>
        <v>4.9000000000000002E-2</v>
      </c>
      <c r="AN107" s="29">
        <f>MIN(Decrypt32x3271[CFB])</f>
        <v>4.9000000000000002E-2</v>
      </c>
      <c r="AO107" s="29">
        <f>MIN(Decrypt32x3271[CTR])</f>
        <v>4.9000000000000002E-2</v>
      </c>
    </row>
    <row r="108" spans="1:41">
      <c r="A108" s="28" t="s">
        <v>11</v>
      </c>
      <c r="B108" s="29">
        <f>MAX(Encrypt16x3266[ECB])</f>
        <v>10.746</v>
      </c>
      <c r="C108" s="29">
        <f>MAX(Encrypt16x3266[CBC])</f>
        <v>2.2395000000000002E-2</v>
      </c>
      <c r="D108" s="29">
        <f>MAX(Encrypt16x3266[OFB])</f>
        <v>1.1805E-2</v>
      </c>
      <c r="E108" s="29">
        <f>MAX(Encrypt16x3266[CFB])</f>
        <v>1.3969000000000001E-2</v>
      </c>
      <c r="F108" s="29">
        <f>MAX(Encrypt16x3266[CTR])</f>
        <v>1.7649000000000001E-2</v>
      </c>
      <c r="G108" s="26"/>
      <c r="H108" s="32" t="s">
        <v>11</v>
      </c>
      <c r="I108" s="29">
        <f>MAX(Encrypt24x3267[ECB])</f>
        <v>9.6959999999999997</v>
      </c>
      <c r="J108" s="29">
        <f>MAX(Encrypt24x3267[CBC])</f>
        <v>8.4080000000000005E-3</v>
      </c>
      <c r="K108" s="29">
        <f>MAX(Encrypt24x3267[OFB])</f>
        <v>1.1906999999999999E-2</v>
      </c>
      <c r="L108" s="29">
        <f>MAX(Encrypt24x3267[CFB])</f>
        <v>1.761E-3</v>
      </c>
      <c r="M108" s="29">
        <f>MAX(Encrypt24x3267[CTR])</f>
        <v>8.2030000000000002E-3</v>
      </c>
      <c r="N108" s="26"/>
      <c r="O108" s="32" t="s">
        <v>11</v>
      </c>
      <c r="P108" s="29">
        <f>MAX(Encrypt32x3268[ECB])</f>
        <v>9.9269999999999996</v>
      </c>
      <c r="Q108" s="29">
        <f>MAX(Encrypt32x3268[CBC])</f>
        <v>9.3390000000000001E-3</v>
      </c>
      <c r="R108" s="29">
        <f>MAX(Encrypt32x3268[OFB])</f>
        <v>5.3689999999999996E-3</v>
      </c>
      <c r="S108" s="29">
        <f>MAX(Encrypt32x3268[CFB])</f>
        <v>9.8899999999999995E-3</v>
      </c>
      <c r="T108" s="29">
        <f>MAX(Encrypt32x3268[CTR])</f>
        <v>2.5111000000000001E-2</v>
      </c>
      <c r="U108" s="26"/>
      <c r="V108" s="28" t="s">
        <v>11</v>
      </c>
      <c r="W108" s="29">
        <f>MAX(Decrypt16x3269[ECB])</f>
        <v>13.09</v>
      </c>
      <c r="X108" s="29">
        <f>MAX(Decrypt16x3269[CBC])</f>
        <v>7.05</v>
      </c>
      <c r="Y108" s="29">
        <f>MAX(Decrypt16x3269[OFB])</f>
        <v>8.4480000000000004</v>
      </c>
      <c r="Z108" s="29">
        <f>MAX(Decrypt16x3269[CFB])</f>
        <v>8.8219999999999992</v>
      </c>
      <c r="AA108" s="29">
        <f>MAX(Decrypt16x3269[CTR])</f>
        <v>8.8089999999999993</v>
      </c>
      <c r="AB108" s="26"/>
      <c r="AC108" s="32" t="s">
        <v>11</v>
      </c>
      <c r="AD108" s="29">
        <f>MAX(Decrypt24x3270[ECB])</f>
        <v>8.3770000000000007</v>
      </c>
      <c r="AE108" s="29">
        <f>MAX(Decrypt24x3270[CBC])</f>
        <v>10.763</v>
      </c>
      <c r="AF108" s="29">
        <f>MAX(Decrypt24x3270[OFB])</f>
        <v>11.819000000000001</v>
      </c>
      <c r="AG108" s="29">
        <f>MAX(Decrypt24x3270[CFB])</f>
        <v>0.52800000000000002</v>
      </c>
      <c r="AH108" s="29">
        <f>MAX(Decrypt24x3270[CTR])</f>
        <v>14.12</v>
      </c>
      <c r="AI108" s="26"/>
      <c r="AJ108" s="32" t="s">
        <v>11</v>
      </c>
      <c r="AK108" s="29">
        <f>MAX(Decrypt32x3271[ECB])</f>
        <v>9.6069999999999993</v>
      </c>
      <c r="AL108" s="29">
        <f>MAX(Decrypt32x3271[CBC])</f>
        <v>9.6859999999999999</v>
      </c>
      <c r="AM108" s="29">
        <f>MAX(Decrypt32x3271[OFB])</f>
        <v>11.724</v>
      </c>
      <c r="AN108" s="29">
        <f>MAX(Decrypt32x3271[CFB])</f>
        <v>8.4440000000000008</v>
      </c>
      <c r="AO108" s="29">
        <f>MAX(Decrypt32x3271[CTR])</f>
        <v>9.5109999999999992</v>
      </c>
    </row>
    <row r="109" spans="1:41">
      <c r="A109" s="33" t="s">
        <v>9</v>
      </c>
      <c r="B109" s="29">
        <f>MEDIAN(Encrypt16x3266[ECB])</f>
        <v>6.3E-2</v>
      </c>
      <c r="C109" s="29">
        <f>MEDIAN(Encrypt16x3266[CBC])</f>
        <v>6.2000000000000003E-5</v>
      </c>
      <c r="D109" s="29">
        <f>MEDIAN(Encrypt16x3266[OFB])</f>
        <v>6.0000000000000002E-5</v>
      </c>
      <c r="E109" s="29">
        <f>MEDIAN(Encrypt16x3266[CFB])</f>
        <v>5.8999999999999998E-5</v>
      </c>
      <c r="F109" s="29">
        <f>MEDIAN(Encrypt16x3266[CTR])</f>
        <v>6.0000000000000002E-5</v>
      </c>
      <c r="G109" s="26"/>
      <c r="H109" s="34" t="s">
        <v>9</v>
      </c>
      <c r="I109" s="29">
        <f>MEDIAN(Encrypt24x3267[ECB])</f>
        <v>7.3499999999999996E-2</v>
      </c>
      <c r="J109" s="29">
        <f>MEDIAN(Encrypt24x3267[CBC])</f>
        <v>7.5000000000000007E-5</v>
      </c>
      <c r="K109" s="29">
        <f>MEDIAN(Encrypt24x3267[OFB])</f>
        <v>7.400000000000001E-5</v>
      </c>
      <c r="L109" s="29">
        <f>MEDIAN(Encrypt24x3267[CFB])</f>
        <v>6.3E-5</v>
      </c>
      <c r="M109" s="29">
        <f>MEDIAN(Encrypt24x3267[CTR])</f>
        <v>7.2000000000000002E-5</v>
      </c>
      <c r="N109" s="26"/>
      <c r="O109" s="34" t="s">
        <v>9</v>
      </c>
      <c r="P109" s="29">
        <f>MEDIAN(Encrypt32x3268[ECB])</f>
        <v>6.3E-2</v>
      </c>
      <c r="Q109" s="29">
        <f>MEDIAN(Encrypt32x3268[CBC])</f>
        <v>6.3E-5</v>
      </c>
      <c r="R109" s="29">
        <f>MEDIAN(Encrypt32x3268[OFB])</f>
        <v>6.0999999999999999E-5</v>
      </c>
      <c r="S109" s="29">
        <f>MEDIAN(Encrypt32x3268[CFB])</f>
        <v>6.0000000000000002E-5</v>
      </c>
      <c r="T109" s="29">
        <f>MEDIAN(Encrypt32x3268[CTR])</f>
        <v>5.8999999999999998E-5</v>
      </c>
      <c r="U109" s="26"/>
      <c r="V109" s="33" t="s">
        <v>9</v>
      </c>
      <c r="W109" s="29">
        <f>MEDIAN(Decrypt16x3269[ECB])</f>
        <v>5.8999999999999997E-2</v>
      </c>
      <c r="X109" s="29">
        <f>MEDIAN(Decrypt16x3269[CBC])</f>
        <v>5.7500000000000002E-2</v>
      </c>
      <c r="Y109" s="29">
        <f>MEDIAN(Decrypt16x3269[OFB])</f>
        <v>6.2E-2</v>
      </c>
      <c r="Z109" s="29">
        <f>MEDIAN(Decrypt16x3269[CFB])</f>
        <v>5.7000000000000002E-2</v>
      </c>
      <c r="AA109" s="29">
        <f>MEDIAN(Decrypt16x3269[CTR])</f>
        <v>5.7500000000000002E-2</v>
      </c>
      <c r="AB109" s="26"/>
      <c r="AC109" s="34" t="s">
        <v>9</v>
      </c>
      <c r="AD109" s="29">
        <f>MEDIAN(Decrypt24x3270[ECB])</f>
        <v>5.5E-2</v>
      </c>
      <c r="AE109" s="29">
        <f>MEDIAN(Decrypt24x3270[CBC])</f>
        <v>5.3999999999999999E-2</v>
      </c>
      <c r="AF109" s="29">
        <f>MEDIAN(Decrypt24x3270[OFB])</f>
        <v>5.3999999999999999E-2</v>
      </c>
      <c r="AG109" s="29">
        <f>MEDIAN(Decrypt24x3270[CFB])</f>
        <v>5.2999999999999999E-2</v>
      </c>
      <c r="AH109" s="29">
        <f>MEDIAN(Decrypt24x3270[CTR])</f>
        <v>5.3999999999999999E-2</v>
      </c>
      <c r="AI109" s="26"/>
      <c r="AJ109" s="34" t="s">
        <v>9</v>
      </c>
      <c r="AK109" s="29">
        <f>MEDIAN(Decrypt32x3271[ECB])</f>
        <v>5.6000000000000001E-2</v>
      </c>
      <c r="AL109" s="29">
        <f>MEDIAN(Decrypt32x3271[CBC])</f>
        <v>5.3999999999999999E-2</v>
      </c>
      <c r="AM109" s="29">
        <f>MEDIAN(Decrypt32x3271[OFB])</f>
        <v>5.45E-2</v>
      </c>
      <c r="AN109" s="29">
        <f>MEDIAN(Decrypt32x3271[CFB])</f>
        <v>5.1999999999999998E-2</v>
      </c>
      <c r="AO109" s="29">
        <f>MEDIAN(Decrypt32x3271[CTR])</f>
        <v>5.5E-2</v>
      </c>
    </row>
  </sheetData>
  <pageMargins left="0.75" right="0.75" top="1" bottom="1" header="0.5" footer="0.5"/>
  <pageSetup paperSize="9" orientation="portrait" horizontalDpi="4294967292" verticalDpi="4294967292"/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Summary</vt:lpstr>
      <vt:lpstr>Input Size per Mode</vt:lpstr>
      <vt:lpstr>Key Size per Mode</vt:lpstr>
      <vt:lpstr>Key Size per Input Size</vt:lpstr>
      <vt:lpstr>1M_File</vt:lpstr>
      <vt:lpstr>5M_File</vt:lpstr>
      <vt:lpstr>10M_File</vt:lpstr>
      <vt:lpstr>256M_File</vt:lpstr>
      <vt:lpstr>File_Sizes</vt:lpstr>
      <vt:lpstr>HIDDEN</vt:lpstr>
      <vt:lpstr>Sheet2</vt:lpstr>
      <vt:lpstr>16B_File (2)</vt:lpstr>
      <vt:lpstr>32B_File (2)</vt:lpstr>
    </vt:vector>
  </TitlesOfParts>
  <Company>SAIC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 Phillips</dc:creator>
  <cp:lastModifiedBy>Jeff Phillips</cp:lastModifiedBy>
  <dcterms:created xsi:type="dcterms:W3CDTF">2013-08-10T10:12:51Z</dcterms:created>
  <dcterms:modified xsi:type="dcterms:W3CDTF">2013-08-10T23:39:03Z</dcterms:modified>
</cp:coreProperties>
</file>